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Options" sheetId="1" r:id="rId1"/>
    <sheet name="DJIA" sheetId="2" r:id="rId2"/>
    <sheet name="Leaps" sheetId="3" r:id="rId3"/>
    <sheet name="Stocks" sheetId="4" r:id="rId4"/>
  </sheets>
  <definedNames/>
  <calcPr fullCalcOnLoad="1"/>
</workbook>
</file>

<file path=xl/comments1.xml><?xml version="1.0" encoding="utf-8"?>
<comments xmlns="http://schemas.openxmlformats.org/spreadsheetml/2006/main">
  <authors>
    <author> John Meinking</author>
  </authors>
  <commentList>
    <comment ref="Z1" authorId="0">
      <text>
        <r>
          <rPr>
            <sz val="11"/>
            <rFont val="Tahoma"/>
            <family val="2"/>
          </rPr>
          <t>CAGR required for stock price to exceed Option Strike Price by the Option Expiration Date.
Uses just % upside if less than 100 days (Col Q).</t>
        </r>
      </text>
    </comment>
    <comment ref="W1" authorId="0">
      <text>
        <r>
          <rPr>
            <sz val="8"/>
            <rFont val="Tahoma"/>
            <family val="2"/>
          </rPr>
          <t xml:space="preserve">Annualized Return If Called
</t>
        </r>
      </text>
    </comment>
    <comment ref="X1" authorId="0">
      <text>
        <r>
          <rPr>
            <sz val="8"/>
            <rFont val="Tahoma"/>
            <family val="2"/>
          </rPr>
          <t xml:space="preserve">Annualized Income if Not Called.
</t>
        </r>
      </text>
    </comment>
    <comment ref="AG1" authorId="0">
      <text>
        <r>
          <rPr>
            <sz val="8"/>
            <rFont val="Tahoma"/>
            <family val="2"/>
          </rPr>
          <t xml:space="preserve">Lower case is a stock with less than 2% yield.
</t>
        </r>
      </text>
    </comment>
  </commentList>
</comments>
</file>

<file path=xl/comments2.xml><?xml version="1.0" encoding="utf-8"?>
<comments xmlns="http://schemas.openxmlformats.org/spreadsheetml/2006/main">
  <authors>
    <author> John Meinking</author>
  </authors>
  <commentList>
    <comment ref="V1" authorId="0">
      <text>
        <r>
          <rPr>
            <sz val="8"/>
            <rFont val="Tahoma"/>
            <family val="2"/>
          </rPr>
          <t xml:space="preserve">Annualized Return If Called
</t>
        </r>
      </text>
    </comment>
    <comment ref="W1" authorId="0">
      <text>
        <r>
          <rPr>
            <sz val="8"/>
            <rFont val="Tahoma"/>
            <family val="2"/>
          </rPr>
          <t xml:space="preserve">Annualized Income if Not Called.
</t>
        </r>
      </text>
    </comment>
    <comment ref="Y1" authorId="0">
      <text>
        <r>
          <rPr>
            <sz val="11"/>
            <rFont val="Tahoma"/>
            <family val="2"/>
          </rPr>
          <t>CAGR required for stock price to exceed Option Strike Price by the Option Expiration Date.
Uses just % upside if less than 100 days (Col Q).</t>
        </r>
      </text>
    </comment>
    <comment ref="AF1" authorId="0">
      <text>
        <r>
          <rPr>
            <sz val="8"/>
            <rFont val="Tahoma"/>
            <family val="2"/>
          </rPr>
          <t xml:space="preserve">Lower case is a stock with less than 2% yield.
</t>
        </r>
      </text>
    </comment>
  </commentList>
</comments>
</file>

<file path=xl/comments3.xml><?xml version="1.0" encoding="utf-8"?>
<comments xmlns="http://schemas.openxmlformats.org/spreadsheetml/2006/main">
  <authors>
    <author> John Meinking</author>
  </authors>
  <commentList>
    <comment ref="AE1" authorId="0">
      <text>
        <r>
          <rPr>
            <sz val="8"/>
            <rFont val="Tahoma"/>
            <family val="2"/>
          </rPr>
          <t xml:space="preserve">Lower case is a stock with less than 2% yield.
</t>
        </r>
      </text>
    </comment>
  </commentList>
</comments>
</file>

<file path=xl/sharedStrings.xml><?xml version="1.0" encoding="utf-8"?>
<sst xmlns="http://schemas.openxmlformats.org/spreadsheetml/2006/main" count="436" uniqueCount="235">
  <si>
    <t>Symbol</t>
  </si>
  <si>
    <t>Price</t>
  </si>
  <si>
    <t>Div Yield</t>
  </si>
  <si>
    <t>Option Unit Price</t>
  </si>
  <si>
    <t>Option Strike Price</t>
  </si>
  <si>
    <t>Option Expire Date</t>
  </si>
  <si>
    <t>Total Yield</t>
  </si>
  <si>
    <t>Days</t>
  </si>
  <si>
    <t>Div Rate</t>
  </si>
  <si>
    <t>Opt+ Div Yield</t>
  </si>
  <si>
    <t>Div Paid</t>
  </si>
  <si>
    <t>Div Paid Yield</t>
  </si>
  <si>
    <t>Option Pct</t>
  </si>
  <si>
    <t>Price Upside</t>
  </si>
  <si>
    <t>Option Sale Date</t>
  </si>
  <si>
    <t>SU</t>
  </si>
  <si>
    <t>COP</t>
  </si>
  <si>
    <t>Prior Opt Sold</t>
  </si>
  <si>
    <t>HD</t>
  </si>
  <si>
    <t>WMT</t>
  </si>
  <si>
    <t>LOW</t>
  </si>
  <si>
    <t>TGT</t>
  </si>
  <si>
    <t>ARIC</t>
  </si>
  <si>
    <t>MSFT</t>
  </si>
  <si>
    <t>CL</t>
  </si>
  <si>
    <t>USB</t>
  </si>
  <si>
    <t>BAC</t>
  </si>
  <si>
    <t>Notes</t>
  </si>
  <si>
    <t>Call away CAGR</t>
  </si>
  <si>
    <t>Total Income</t>
  </si>
  <si>
    <t>ABT</t>
  </si>
  <si>
    <t>Total Return Pct.</t>
  </si>
  <si>
    <t>Total Return Rule</t>
  </si>
  <si>
    <t>Total Return Amt</t>
  </si>
  <si>
    <t>SII</t>
  </si>
  <si>
    <t>Total Return RuleW</t>
  </si>
  <si>
    <t>Adj Tot Return work</t>
  </si>
  <si>
    <t>Mtnly Avg Return</t>
  </si>
  <si>
    <t>JNJ</t>
  </si>
  <si>
    <t>CVX</t>
  </si>
  <si>
    <t>GE</t>
  </si>
  <si>
    <t>PFE</t>
  </si>
  <si>
    <t>SLB</t>
  </si>
  <si>
    <t>CVS</t>
  </si>
  <si>
    <t>PEP</t>
  </si>
  <si>
    <t>CHK</t>
  </si>
  <si>
    <t>BTU</t>
  </si>
  <si>
    <t>50 DMA</t>
  </si>
  <si>
    <t>50 DMA Pct</t>
  </si>
  <si>
    <t>200 DMA</t>
  </si>
  <si>
    <t>200 DMA Pct</t>
  </si>
  <si>
    <t>Company Name</t>
  </si>
  <si>
    <t>Rank</t>
  </si>
  <si>
    <t>Industry Name</t>
  </si>
  <si>
    <t>Market Capitalization</t>
  </si>
  <si>
    <t>Total Shares Outstanding</t>
  </si>
  <si>
    <t>Last Price</t>
  </si>
  <si>
    <t>52-Week High</t>
  </si>
  <si>
    <t>52-Week Low</t>
  </si>
  <si>
    <t>Latest Dividend Rate</t>
  </si>
  <si>
    <t>Current Dividend Yield</t>
  </si>
  <si>
    <t>% Institutional Ownership</t>
  </si>
  <si>
    <t>50-Day Moving Average</t>
  </si>
  <si>
    <t>200-Day Moving Average</t>
  </si>
  <si>
    <t>Net Insider Transactions</t>
  </si>
  <si>
    <t>Net Profit Margin</t>
  </si>
  <si>
    <t>12-Month EPS: Total Ops.</t>
  </si>
  <si>
    <t>Latest Fiscal EPS</t>
  </si>
  <si>
    <t>Rating</t>
  </si>
  <si>
    <t>Annual EPS Growth Rate</t>
  </si>
  <si>
    <t>Rev Growth YTD vs YTD</t>
  </si>
  <si>
    <t>5-Year Dividend Growth</t>
  </si>
  <si>
    <t>Sector</t>
  </si>
  <si>
    <t>Current Yr Earnings Est</t>
  </si>
  <si>
    <t>n/a</t>
  </si>
  <si>
    <t>Basic Industries</t>
  </si>
  <si>
    <t>Abbott Laboratories</t>
  </si>
  <si>
    <t>Drug Manufacturers - Major</t>
  </si>
  <si>
    <t>Health Care</t>
  </si>
  <si>
    <t>Technology</t>
  </si>
  <si>
    <t>Finance</t>
  </si>
  <si>
    <t>Personal Products</t>
  </si>
  <si>
    <t>Consumer Non-Durables</t>
  </si>
  <si>
    <t>Money Center Banks</t>
  </si>
  <si>
    <t>Industrial Metals &amp; Minerals</t>
  </si>
  <si>
    <t>Energy</t>
  </si>
  <si>
    <t>ConocoPhillips</t>
  </si>
  <si>
    <t>Major Integrated Oil &amp; Gas</t>
  </si>
  <si>
    <t>Drug Stores</t>
  </si>
  <si>
    <t>Consumer Services</t>
  </si>
  <si>
    <t>EPR</t>
  </si>
  <si>
    <t>ERF</t>
  </si>
  <si>
    <t>Conglomerates</t>
  </si>
  <si>
    <t>Capital Goods</t>
  </si>
  <si>
    <t>Oil &amp; Gas Equipment &amp; Services</t>
  </si>
  <si>
    <t>HCN</t>
  </si>
  <si>
    <t>Home Improvement Stores</t>
  </si>
  <si>
    <t>HRP</t>
  </si>
  <si>
    <t>Johnson &amp; Johnson</t>
  </si>
  <si>
    <t>Application Software</t>
  </si>
  <si>
    <t>PG</t>
  </si>
  <si>
    <t>PWE</t>
  </si>
  <si>
    <t>UPS</t>
  </si>
  <si>
    <t>WFC</t>
  </si>
  <si>
    <t>WAG</t>
  </si>
  <si>
    <t>DUK</t>
  </si>
  <si>
    <t>Electric Utilities</t>
  </si>
  <si>
    <t>Public Utilities</t>
  </si>
  <si>
    <t>SXT</t>
  </si>
  <si>
    <t>Do It</t>
  </si>
  <si>
    <t>Cash received</t>
  </si>
  <si>
    <t>Prem AINC</t>
  </si>
  <si>
    <t>Total AINC</t>
  </si>
  <si>
    <t>Shrs</t>
  </si>
  <si>
    <t>CVS Caremark Corp</t>
  </si>
  <si>
    <t>Home Depot Inc</t>
  </si>
  <si>
    <t>Lowe's Companies Inc</t>
  </si>
  <si>
    <t>Microsoft Corp</t>
  </si>
  <si>
    <t>Pepsico Inc</t>
  </si>
  <si>
    <t>Smith International Inc</t>
  </si>
  <si>
    <t>Sensient Technologies Corp</t>
  </si>
  <si>
    <t>Target Corp</t>
  </si>
  <si>
    <t>Walgreen Co</t>
  </si>
  <si>
    <t>Wal-Mart Stores Inc</t>
  </si>
  <si>
    <t>Symb</t>
  </si>
  <si>
    <t>Upside Pct.</t>
  </si>
  <si>
    <t>Independent Oil &amp; Gas</t>
  </si>
  <si>
    <t>REIT - Retail</t>
  </si>
  <si>
    <t>Diversified Investments</t>
  </si>
  <si>
    <t>Regional - Midwest Banks</t>
  </si>
  <si>
    <t>Processed &amp; Packaged Goods</t>
  </si>
  <si>
    <t>Specialty Chemicals</t>
  </si>
  <si>
    <t>Discount, Variety Stores</t>
  </si>
  <si>
    <t>Air Delivery &amp; Freight Services</t>
  </si>
  <si>
    <t>PAYX</t>
  </si>
  <si>
    <t>Paychex Inc</t>
  </si>
  <si>
    <t>Staffing &amp; Outsourcing Services</t>
  </si>
  <si>
    <t>CSCO</t>
  </si>
  <si>
    <t>Cisco Systems Inc</t>
  </si>
  <si>
    <t>Networking &amp; Communication Devices</t>
  </si>
  <si>
    <t>United Parcel Service Inc</t>
  </si>
  <si>
    <t>O</t>
  </si>
  <si>
    <t>INTC</t>
  </si>
  <si>
    <t>Intel Corp</t>
  </si>
  <si>
    <t>Semiconductor - Broad Line</t>
  </si>
  <si>
    <t>VLO</t>
  </si>
  <si>
    <t>Oil &amp; Gas Refining &amp; Marketing</t>
  </si>
  <si>
    <t>Oil &amp; Gas Drilling &amp; Exploration</t>
  </si>
  <si>
    <t>Transportation</t>
  </si>
  <si>
    <t>REIT - Healthcare Facilities</t>
  </si>
  <si>
    <t>Leaps Cost</t>
  </si>
  <si>
    <t>Leaps Strike Price</t>
  </si>
  <si>
    <t>Loss at Purch</t>
  </si>
  <si>
    <t>No Gain CAGR</t>
  </si>
  <si>
    <t>Price 1 CAGR</t>
  </si>
  <si>
    <t>Price 1</t>
  </si>
  <si>
    <t>Cover Leap Income</t>
  </si>
  <si>
    <t>Covered Leap Price</t>
  </si>
  <si>
    <t>Covered Leaps CAGR</t>
  </si>
  <si>
    <t>Price 1 Invest CAGR</t>
  </si>
  <si>
    <t>Covered Leap Invest CAGR</t>
  </si>
  <si>
    <t>Peabody Energy Corp</t>
  </si>
  <si>
    <t>DEO</t>
  </si>
  <si>
    <t>Diageo ADR Reptg 4 Ord Shs</t>
  </si>
  <si>
    <t>Beverages - Wineries &amp; Distillers</t>
  </si>
  <si>
    <t>Wells Fargo &amp; Co</t>
  </si>
  <si>
    <t>Bank of America Corp</t>
  </si>
  <si>
    <t>Chesapeake Energy Corp</t>
  </si>
  <si>
    <t>Chevron Corp</t>
  </si>
  <si>
    <t>Duke Energy Corp</t>
  </si>
  <si>
    <t>Pfizer Inc</t>
  </si>
  <si>
    <t>Penn West Energy Trust</t>
  </si>
  <si>
    <t>Valero Energy Corp</t>
  </si>
  <si>
    <t>Entmnt Prop Tr REIT</t>
  </si>
  <si>
    <t>EPD</t>
  </si>
  <si>
    <t>Enterprise Products Partners LP</t>
  </si>
  <si>
    <t>HRPT Properties REIT</t>
  </si>
  <si>
    <t>Realty Income REIT</t>
  </si>
  <si>
    <t>TPP</t>
  </si>
  <si>
    <t>TEPPCO Partners LP</t>
  </si>
  <si>
    <t>Oil &amp; Gas Pipelines</t>
  </si>
  <si>
    <t>KO</t>
  </si>
  <si>
    <t>Coca-Cola Co</t>
  </si>
  <si>
    <t>Beverages - Soft Drinks</t>
  </si>
  <si>
    <t>Health Care REIT</t>
  </si>
  <si>
    <t>DJIA</t>
  </si>
  <si>
    <t>Historical Date</t>
  </si>
  <si>
    <t>Current DJIA Price</t>
  </si>
  <si>
    <t>1970 to Year CAGR</t>
  </si>
  <si>
    <t>2 year CAGR</t>
  </si>
  <si>
    <t>4 year CAGR</t>
  </si>
  <si>
    <t>6 Year CAGR</t>
  </si>
  <si>
    <t>8 Year CAGR</t>
  </si>
  <si>
    <t>10 Year CAGR</t>
  </si>
  <si>
    <t>12 Year CAGR</t>
  </si>
  <si>
    <t>14 Year CAGR</t>
  </si>
  <si>
    <t>16 Year CAGR</t>
  </si>
  <si>
    <t>20 Year CAGR</t>
  </si>
  <si>
    <t>22 Year CAGR</t>
  </si>
  <si>
    <t>24 Year CAGR</t>
  </si>
  <si>
    <t>26 Year CAGR</t>
  </si>
  <si>
    <t>28 Year CAGR</t>
  </si>
  <si>
    <t>30 Year CAGR</t>
  </si>
  <si>
    <t>From Year to Today</t>
  </si>
  <si>
    <t>Colgate-Palmolive Co</t>
  </si>
  <si>
    <t>Enerplus Resources Fund</t>
  </si>
  <si>
    <t>General Electric Co</t>
  </si>
  <si>
    <t>Suncor Energy Inc</t>
  </si>
  <si>
    <t>Imp Vol</t>
  </si>
  <si>
    <t>PM</t>
  </si>
  <si>
    <t>Philip Morris International Inc</t>
  </si>
  <si>
    <t>Cigarettes</t>
  </si>
  <si>
    <t>SYY</t>
  </si>
  <si>
    <t>Sysco Corp</t>
  </si>
  <si>
    <t>Food Wholesale</t>
  </si>
  <si>
    <t>JEC</t>
  </si>
  <si>
    <t>Jacobs Engineering Group Inc</t>
  </si>
  <si>
    <t>Technical Services</t>
  </si>
  <si>
    <t>Schlumberger NV</t>
  </si>
  <si>
    <t>DRYS</t>
  </si>
  <si>
    <t>DryShips Inc</t>
  </si>
  <si>
    <t>Shipping</t>
  </si>
  <si>
    <t>FLS</t>
  </si>
  <si>
    <t>Flowserve Corp</t>
  </si>
  <si>
    <t>Diversified Machinery</t>
  </si>
  <si>
    <t>Procter &amp; Gamble Co</t>
  </si>
  <si>
    <t>ADP</t>
  </si>
  <si>
    <t>Automatic Data Processing Inc</t>
  </si>
  <si>
    <t>Business Software &amp; Services</t>
  </si>
  <si>
    <t>SNY</t>
  </si>
  <si>
    <t>Sanofi Aventis ADR Each Representing One Half Of One Ord Shs</t>
  </si>
  <si>
    <t>WMI</t>
  </si>
  <si>
    <t>Waste Management Inc</t>
  </si>
  <si>
    <t>Waste Management</t>
  </si>
  <si>
    <t>US Bancorp (Del)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</si>
</sst>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[$-409]dddd\,\ mmmm\ dd\,\ yyyy"/>
    <numFmt numFmtId="167" formatCode="&quot;$&quot;#,##0"/>
    <numFmt numFmtId="168" formatCode="0.0%"/>
    <numFmt numFmtId="169" formatCode="&quot;$&quot;#,##0.00"/>
    <numFmt numFmtId="170" formatCode="0.0%;[Red]\(0.0%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8" fontId="0" fillId="0" borderId="0" xfId="0" applyNumberFormat="1" applyAlignment="1">
      <alignment/>
    </xf>
    <xf numFmtId="168" fontId="1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" fontId="0" fillId="0" borderId="0" xfId="0" applyNumberFormat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8" fontId="1" fillId="0" borderId="0" xfId="0" applyNumberFormat="1" applyFont="1" applyAlignment="1">
      <alignment horizontal="center" wrapText="1"/>
    </xf>
    <xf numFmtId="168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8" fontId="1" fillId="0" borderId="0" xfId="0" applyNumberFormat="1" applyFont="1" applyFill="1" applyAlignment="1">
      <alignment horizontal="center" wrapText="1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 horizontal="center" wrapText="1"/>
    </xf>
    <xf numFmtId="6" fontId="0" fillId="0" borderId="0" xfId="0" applyNumberFormat="1" applyFill="1" applyAlignment="1">
      <alignment/>
    </xf>
    <xf numFmtId="169" fontId="1" fillId="0" borderId="0" xfId="0" applyNumberFormat="1" applyFont="1" applyAlignment="1">
      <alignment horizont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8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0" workbookViewId="0" topLeftCell="A1">
      <pane xSplit="14" ySplit="1" topLeftCell="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P26" sqref="P26"/>
    </sheetView>
  </sheetViews>
  <sheetFormatPr defaultColWidth="9.140625" defaultRowHeight="12.75"/>
  <cols>
    <col min="1" max="1" width="6.140625" style="0" bestFit="1" customWidth="1"/>
    <col min="2" max="2" width="10.140625" style="0" customWidth="1"/>
    <col min="3" max="3" width="6.28125" style="0" bestFit="1" customWidth="1"/>
    <col min="4" max="4" width="7.421875" style="1" customWidth="1"/>
    <col min="5" max="5" width="6.8515625" style="1" hidden="1" customWidth="1"/>
    <col min="6" max="6" width="6.28125" style="1" hidden="1" customWidth="1"/>
    <col min="7" max="7" width="6.8515625" style="1" hidden="1" customWidth="1"/>
    <col min="8" max="8" width="7.8515625" style="1" hidden="1" customWidth="1"/>
    <col min="9" max="9" width="5.57421875" style="1" customWidth="1"/>
    <col min="10" max="10" width="7.140625" style="2" customWidth="1"/>
    <col min="11" max="11" width="5.8515625" style="1" customWidth="1"/>
    <col min="12" max="12" width="6.28125" style="1" bestFit="1" customWidth="1"/>
    <col min="13" max="13" width="6.8515625" style="15" customWidth="1"/>
    <col min="14" max="14" width="10.57421875" style="10" bestFit="1" customWidth="1"/>
    <col min="15" max="15" width="7.140625" style="1" bestFit="1" customWidth="1"/>
    <col min="16" max="16" width="9.140625" style="39" bestFit="1" customWidth="1"/>
    <col min="17" max="17" width="7.8515625" style="15" hidden="1" customWidth="1"/>
    <col min="18" max="19" width="7.00390625" style="15" hidden="1" customWidth="1"/>
    <col min="20" max="20" width="7.28125" style="15" hidden="1" customWidth="1"/>
    <col min="21" max="21" width="6.140625" style="15" customWidth="1"/>
    <col min="22" max="22" width="6.140625" style="12" bestFit="1" customWidth="1"/>
    <col min="23" max="23" width="8.28125" style="15" bestFit="1" customWidth="1"/>
    <col min="24" max="24" width="8.140625" style="15" bestFit="1" customWidth="1"/>
    <col min="25" max="25" width="7.28125" style="15" bestFit="1" customWidth="1"/>
    <col min="26" max="26" width="8.28125" style="15" bestFit="1" customWidth="1"/>
    <col min="27" max="27" width="7.28125" style="15" customWidth="1"/>
    <col min="28" max="28" width="8.7109375" style="34" bestFit="1" customWidth="1"/>
    <col min="29" max="29" width="7.421875" style="15" bestFit="1" customWidth="1"/>
    <col min="30" max="30" width="7.140625" style="15" customWidth="1"/>
    <col min="31" max="31" width="7.140625" style="15" hidden="1" customWidth="1"/>
    <col min="32" max="32" width="8.7109375" style="21" hidden="1" customWidth="1"/>
    <col min="33" max="33" width="7.00390625" style="21" bestFit="1" customWidth="1"/>
    <col min="34" max="34" width="10.8515625" style="13" bestFit="1" customWidth="1"/>
    <col min="35" max="35" width="24.28125" style="22" customWidth="1"/>
    <col min="36" max="36" width="4.8515625" style="15" customWidth="1"/>
    <col min="37" max="37" width="10.28125" style="2" bestFit="1" customWidth="1"/>
    <col min="39" max="39" width="9.140625" style="9" customWidth="1"/>
    <col min="40" max="40" width="9.140625" style="3" customWidth="1"/>
  </cols>
  <sheetData>
    <row r="1" spans="1:40" s="4" customFormat="1" ht="63.75">
      <c r="A1" s="4" t="s">
        <v>124</v>
      </c>
      <c r="B1" s="41" t="s">
        <v>14</v>
      </c>
      <c r="C1" s="4" t="s">
        <v>113</v>
      </c>
      <c r="D1" s="5" t="s">
        <v>1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8</v>
      </c>
      <c r="J1" s="31" t="s">
        <v>2</v>
      </c>
      <c r="K1" s="30" t="s">
        <v>10</v>
      </c>
      <c r="L1" s="30" t="s">
        <v>17</v>
      </c>
      <c r="M1" s="28" t="s">
        <v>11</v>
      </c>
      <c r="N1" s="29" t="s">
        <v>5</v>
      </c>
      <c r="O1" s="30" t="s">
        <v>3</v>
      </c>
      <c r="P1" s="37" t="s">
        <v>4</v>
      </c>
      <c r="Q1" s="28" t="s">
        <v>9</v>
      </c>
      <c r="R1" s="28" t="s">
        <v>12</v>
      </c>
      <c r="S1" s="28" t="s">
        <v>13</v>
      </c>
      <c r="T1" s="28" t="s">
        <v>6</v>
      </c>
      <c r="U1" s="28" t="s">
        <v>208</v>
      </c>
      <c r="V1" s="32" t="s">
        <v>7</v>
      </c>
      <c r="W1" s="28" t="s">
        <v>22</v>
      </c>
      <c r="X1" s="28" t="s">
        <v>112</v>
      </c>
      <c r="Y1" s="28" t="s">
        <v>111</v>
      </c>
      <c r="Z1" s="28" t="s">
        <v>28</v>
      </c>
      <c r="AA1" s="28" t="s">
        <v>125</v>
      </c>
      <c r="AB1" s="35" t="s">
        <v>33</v>
      </c>
      <c r="AC1" s="28" t="s">
        <v>31</v>
      </c>
      <c r="AD1" s="28" t="s">
        <v>37</v>
      </c>
      <c r="AE1" s="28" t="s">
        <v>36</v>
      </c>
      <c r="AF1" s="33" t="s">
        <v>35</v>
      </c>
      <c r="AG1" s="33" t="s">
        <v>32</v>
      </c>
      <c r="AH1" s="27" t="s">
        <v>29</v>
      </c>
      <c r="AI1" s="11" t="s">
        <v>27</v>
      </c>
      <c r="AJ1" s="14" t="s">
        <v>109</v>
      </c>
      <c r="AK1" s="6" t="s">
        <v>110</v>
      </c>
      <c r="AM1" s="8"/>
      <c r="AN1" s="7"/>
    </row>
    <row r="2" spans="1:40" s="23" customFormat="1" ht="12.75">
      <c r="A2" s="42" t="s">
        <v>226</v>
      </c>
      <c r="B2" s="16">
        <f aca="true" ca="1" t="shared" si="0" ref="B2:B23">TODAY()</f>
        <v>39990</v>
      </c>
      <c r="C2" s="23">
        <v>100</v>
      </c>
      <c r="D2" s="17">
        <f>VLOOKUP($A2,Stocks!$A$2:$Z$999,7,FALSE)</f>
        <v>34.69</v>
      </c>
      <c r="E2" s="17">
        <f>VLOOKUP($A2,Stocks!$A$2:$Z$999,13,FALSE)</f>
        <v>36.36</v>
      </c>
      <c r="F2" s="19">
        <f>IF(AND(D2&gt;E2,E2+0&gt;0),(D2-E2)/E2,"")</f>
      </c>
      <c r="G2" s="17">
        <f>VLOOKUP($A2,Stocks!$A$2:$Z$999,14,FALSE)</f>
        <v>36.98</v>
      </c>
      <c r="H2" s="43">
        <f>IF(G2+0&gt;0,(D2-G2)/G2,"")</f>
        <v>-0.061925365062195765</v>
      </c>
      <c r="I2" s="17">
        <f>VLOOKUP($A2,Stocks!$A$2:$Z$999,10,FALSE)</f>
        <v>1.32</v>
      </c>
      <c r="J2" s="18">
        <f>I2/D2</f>
        <v>0.03805131161718075</v>
      </c>
      <c r="K2" s="17"/>
      <c r="L2" s="17"/>
      <c r="M2" s="19">
        <f>K2/D2</f>
        <v>0</v>
      </c>
      <c r="N2" s="47">
        <v>40012</v>
      </c>
      <c r="O2" s="17">
        <v>1.95</v>
      </c>
      <c r="P2" s="38">
        <v>33</v>
      </c>
      <c r="Q2" s="19">
        <f>(K2+O2)/D2</f>
        <v>0.05621216488901701</v>
      </c>
      <c r="R2" s="19">
        <f>IF(D2&gt;0,((MIN(D2,P2)-D2)+O2)/D2,"")</f>
        <v>0.007494955318535666</v>
      </c>
      <c r="S2" s="19">
        <f>IF(P2&gt;0,(P2-D2)/D2,"0")</f>
        <v>-0.04871720957048135</v>
      </c>
      <c r="T2" s="19">
        <f>IF(D2&gt;0,(Q2+(P2-D2)/D2),"")</f>
        <v>0.007494955318535661</v>
      </c>
      <c r="U2" s="19"/>
      <c r="V2" s="20">
        <f>N2-B2</f>
        <v>22</v>
      </c>
      <c r="W2" s="19">
        <f>IF(D2&lt;P2,(((P2+K2+L2)*C2)/((D2-O2)*C2))^(365/V2)-1,(((P2+K2+L2+O2)*C2)/(D2*C2))^(365/V2)-1)</f>
        <v>0.1318850694829683</v>
      </c>
      <c r="X2" s="19">
        <f>IF(D2&lt;P2,((K2+L2+O2)/D2)*(365/V2),((O2+K2+L2)/D2)*365/V2)</f>
        <v>0.9326109174768731</v>
      </c>
      <c r="Y2" s="19">
        <f>IF(D2&lt;P2,((O2+L2)/D2)*(365/V2),((O2+L2)/D2)*365/V2)</f>
        <v>0.9326109174768731</v>
      </c>
      <c r="Z2" s="19">
        <f>IF(V2&gt;100,((P2)/D2)^(365/V2)-1,(P2-D2)/D2)</f>
        <v>-0.04871720957048135</v>
      </c>
      <c r="AA2" s="19">
        <f>IF(P2&gt;D2,(P2-D2)/D2,0)</f>
        <v>0</v>
      </c>
      <c r="AB2" s="36">
        <f>C2*(P2-D2+O2+L2+K2)</f>
        <v>26.000000000000224</v>
      </c>
      <c r="AC2" s="19">
        <f>(AB2)/(C2*D2)</f>
        <v>0.007494955318535666</v>
      </c>
      <c r="AD2" s="19">
        <f>W2/12</f>
        <v>0.010990422456914025</v>
      </c>
      <c r="AE2" s="19">
        <f>IF(J2&lt;0.01,AC2/(V2/30),AC2/(V2/30))</f>
        <v>0.010220393616185</v>
      </c>
      <c r="AF2" s="19" t="str">
        <f>IF(AC2&lt;0.1,"low",IF(AE2&gt;0.025,"XCEL",IF(AE2&gt;0.0225,"VGD",IF(AE2&gt;0.02,"GOOD",IF(AE2&gt;0.0175,"OK",IF(AE2&gt;0.015,"MARG","BAD"))))))</f>
        <v>low</v>
      </c>
      <c r="AG2" s="19" t="str">
        <f>IF(J2&gt;0.02,UPPER(AF2),LOWER(AF2))</f>
        <v>LOW</v>
      </c>
      <c r="AH2" s="21">
        <f>C2*(O2+L2+K2)</f>
        <v>195</v>
      </c>
      <c r="AI2" s="24"/>
      <c r="AJ2" s="19"/>
      <c r="AK2" s="38">
        <f>IF(AJ2="Y",O2*C2,"")</f>
      </c>
      <c r="AM2" s="25"/>
      <c r="AN2" s="26"/>
    </row>
    <row r="3" spans="1:40" s="23" customFormat="1" ht="12.75">
      <c r="A3" s="42" t="s">
        <v>226</v>
      </c>
      <c r="B3" s="16">
        <f ca="1" t="shared" si="0"/>
        <v>39990</v>
      </c>
      <c r="C3" s="23">
        <v>100</v>
      </c>
      <c r="D3" s="17">
        <f>VLOOKUP($A3,Stocks!$A$2:$Z$999,7,FALSE)</f>
        <v>34.69</v>
      </c>
      <c r="E3" s="17">
        <f>VLOOKUP($A3,Stocks!$A$2:$Z$999,13,FALSE)</f>
        <v>36.36</v>
      </c>
      <c r="F3" s="19">
        <f>IF(AND(D3&gt;E3,E3+0&gt;0),(D3-E3)/E3,"")</f>
      </c>
      <c r="G3" s="17">
        <f>VLOOKUP($A3,Stocks!$A$2:$Z$999,14,FALSE)</f>
        <v>36.98</v>
      </c>
      <c r="H3" s="43">
        <f>IF(G3+0&gt;0,(D3-G3)/G3,"")</f>
        <v>-0.061925365062195765</v>
      </c>
      <c r="I3" s="17">
        <f>VLOOKUP($A3,Stocks!$A$2:$Z$999,10,FALSE)</f>
        <v>1.32</v>
      </c>
      <c r="J3" s="18">
        <f>I3/D3</f>
        <v>0.03805131161718075</v>
      </c>
      <c r="K3" s="17"/>
      <c r="L3" s="17"/>
      <c r="M3" s="19">
        <f>K3/D3</f>
        <v>0</v>
      </c>
      <c r="N3" s="16">
        <v>40012</v>
      </c>
      <c r="O3" s="17">
        <v>1.2</v>
      </c>
      <c r="P3" s="38">
        <v>34</v>
      </c>
      <c r="Q3" s="19">
        <f>(K3+O3)/D3</f>
        <v>0.03459210147016431</v>
      </c>
      <c r="R3" s="19">
        <f>IF(D3&gt;0,((MIN(D3,P3)-D3)+O3)/D3,"")</f>
        <v>0.014701643124819898</v>
      </c>
      <c r="S3" s="19">
        <f>IF(P3&gt;0,(P3-D3)/D3,"0")</f>
        <v>-0.019890458345344416</v>
      </c>
      <c r="T3" s="19">
        <f>IF(D3&gt;0,(Q3+(P3-D3)/D3),"")</f>
        <v>0.014701643124819894</v>
      </c>
      <c r="U3" s="19"/>
      <c r="V3" s="20">
        <f>N3-B3</f>
        <v>22</v>
      </c>
      <c r="W3" s="19">
        <f>IF(D3&lt;P3,(((P3+K3+L3)*C3)/((D3-O3)*C3))^(365/V3)-1,(((P3+K3+L3+O3)*C3)/(D3*C3))^(365/V3)-1)</f>
        <v>0.27397004020816995</v>
      </c>
      <c r="X3" s="19">
        <f>IF(D3&lt;P3,((K3+L3+O3)/D3)*(365/V3),((O3+K3+L3)/D3)*365/V3)</f>
        <v>0.5739144107549987</v>
      </c>
      <c r="Y3" s="19">
        <f>IF(D3&lt;P3,((O3+L3)/D3)*(365/V3),((O3+L3)/D3)*365/V3)</f>
        <v>0.5739144107549987</v>
      </c>
      <c r="Z3" s="19">
        <f>IF(V3&gt;100,((P3)/D3)^(365/V3)-1,(P3-D3)/D3)</f>
        <v>-0.019890458345344416</v>
      </c>
      <c r="AA3" s="19">
        <f>IF(P3&gt;D3,(P3-D3)/D3,0)</f>
        <v>0</v>
      </c>
      <c r="AB3" s="36">
        <f>C3*(P3-D3+O3+L3+K3)</f>
        <v>51.00000000000022</v>
      </c>
      <c r="AC3" s="19">
        <f>(AB3)/(C3*D3)</f>
        <v>0.014701643124819896</v>
      </c>
      <c r="AD3" s="19">
        <f>W3/12</f>
        <v>0.02283083668401416</v>
      </c>
      <c r="AE3" s="19">
        <f>IF(J3&lt;0.01,AC3/(V3/30),AC3/(V3/30))</f>
        <v>0.020047695170208952</v>
      </c>
      <c r="AF3" s="19" t="str">
        <f>IF(AC3&lt;0.1,"low",IF(AE3&gt;0.025,"XCEL",IF(AE3&gt;0.0225,"VGD",IF(AE3&gt;0.02,"GOOD",IF(AE3&gt;0.0175,"OK",IF(AE3&gt;0.015,"MARG","BAD"))))))</f>
        <v>low</v>
      </c>
      <c r="AG3" s="19" t="str">
        <f>IF(J3&gt;0.02,UPPER(AF3),LOWER(AF3))</f>
        <v>LOW</v>
      </c>
      <c r="AH3" s="21">
        <f>C3*(O3+L3+K3)</f>
        <v>120</v>
      </c>
      <c r="AI3" s="24"/>
      <c r="AJ3" s="19"/>
      <c r="AK3" s="38">
        <f>IF(AJ3="Y",O3*C3,"")</f>
      </c>
      <c r="AM3" s="25"/>
      <c r="AN3" s="26"/>
    </row>
    <row r="4" spans="1:40" s="23" customFormat="1" ht="12.75">
      <c r="A4" s="42" t="s">
        <v>226</v>
      </c>
      <c r="B4" s="16">
        <f ca="1" t="shared" si="0"/>
        <v>39990</v>
      </c>
      <c r="C4" s="23">
        <v>100</v>
      </c>
      <c r="D4" s="17">
        <f>VLOOKUP($A4,Stocks!$A$2:$Z$999,7,FALSE)</f>
        <v>34.69</v>
      </c>
      <c r="E4" s="17">
        <f>VLOOKUP($A4,Stocks!$A$2:$Z$999,13,FALSE)</f>
        <v>36.36</v>
      </c>
      <c r="F4" s="19">
        <f>IF(AND(D4&gt;E4,E4+0&gt;0),(D4-E4)/E4,"")</f>
      </c>
      <c r="G4" s="17">
        <f>VLOOKUP($A4,Stocks!$A$2:$Z$999,14,FALSE)</f>
        <v>36.98</v>
      </c>
      <c r="H4" s="43">
        <f>IF(G4+0&gt;0,(D4-G4)/G4,"")</f>
        <v>-0.061925365062195765</v>
      </c>
      <c r="I4" s="17">
        <f>VLOOKUP($A4,Stocks!$A$2:$Z$999,10,FALSE)</f>
        <v>1.32</v>
      </c>
      <c r="J4" s="18">
        <f>I4/D4</f>
        <v>0.03805131161718075</v>
      </c>
      <c r="K4" s="17"/>
      <c r="L4" s="17"/>
      <c r="M4" s="19">
        <f>K4/D4</f>
        <v>0</v>
      </c>
      <c r="N4" s="16">
        <v>40012</v>
      </c>
      <c r="O4" s="17">
        <v>0.6</v>
      </c>
      <c r="P4" s="38">
        <v>35</v>
      </c>
      <c r="Q4" s="19">
        <f>(K4+O4)/D4</f>
        <v>0.017296050735082155</v>
      </c>
      <c r="R4" s="19">
        <f>IF(D4&gt;0,((MIN(D4,P4)-D4)+O4)/D4,"")</f>
        <v>0.017296050735082155</v>
      </c>
      <c r="S4" s="19">
        <f>IF(P4&gt;0,(P4-D4)/D4,"0")</f>
        <v>0.008936292879792513</v>
      </c>
      <c r="T4" s="19">
        <f>IF(D4&gt;0,(Q4+(P4-D4)/D4),"")</f>
        <v>0.02623234361487467</v>
      </c>
      <c r="U4" s="19"/>
      <c r="V4" s="20">
        <f>N4-B4</f>
        <v>22</v>
      </c>
      <c r="W4" s="19">
        <f>IF(D4&lt;P4,(((P4+K4+L4)*C4)/((D4-O4)*C4))^(365/V4)-1,(((P4+K4+L4+O4)*C4)/(D4*C4))^(365/V4)-1)</f>
        <v>0.5481652187834207</v>
      </c>
      <c r="X4" s="19">
        <f>IF(D4&lt;P4,((K4+L4+O4)/D4)*(365/V4),((O4+K4+L4)/D4)*365/V4)</f>
        <v>0.28695720537749936</v>
      </c>
      <c r="Y4" s="19">
        <f>IF(D4&lt;P4,((O4+L4)/D4)*(365/V4),((O4+L4)/D4)*365/V4)</f>
        <v>0.28695720537749936</v>
      </c>
      <c r="Z4" s="19">
        <f>IF(V4&gt;100,((P4)/D4)^(365/V4)-1,(P4-D4)/D4)</f>
        <v>0.008936292879792513</v>
      </c>
      <c r="AA4" s="19">
        <f>IF(P4&gt;D4,(P4-D4)/D4,0)</f>
        <v>0.008936292879792513</v>
      </c>
      <c r="AB4" s="36">
        <f>C4*(P4-D4+O4+L4+K4)</f>
        <v>91.00000000000023</v>
      </c>
      <c r="AC4" s="19">
        <f>(AB4)/(C4*D4)</f>
        <v>0.02623234361487467</v>
      </c>
      <c r="AD4" s="19">
        <f>W4/12</f>
        <v>0.045680434898618394</v>
      </c>
      <c r="AE4" s="19">
        <f>IF(J4&lt;0.01,AC4/(V4/30),AC4/(V4/30))</f>
        <v>0.03577137765664728</v>
      </c>
      <c r="AF4" s="19" t="str">
        <f>IF(AC4&lt;0.1,"low",IF(AE4&gt;0.025,"XCEL",IF(AE4&gt;0.0225,"VGD",IF(AE4&gt;0.02,"GOOD",IF(AE4&gt;0.0175,"OK",IF(AE4&gt;0.015,"MARG","BAD"))))))</f>
        <v>low</v>
      </c>
      <c r="AG4" s="19" t="str">
        <f>IF(J4&gt;0.02,UPPER(AF4),LOWER(AF4))</f>
        <v>LOW</v>
      </c>
      <c r="AH4" s="21">
        <f>C4*(O4+L4+K4)</f>
        <v>60</v>
      </c>
      <c r="AI4" s="24"/>
      <c r="AJ4" s="19"/>
      <c r="AK4" s="38">
        <f>IF(AJ4="Y",O4*C4,"")</f>
      </c>
      <c r="AM4" s="25"/>
      <c r="AN4" s="26"/>
    </row>
    <row r="5" spans="1:40" s="23" customFormat="1" ht="12.75">
      <c r="A5" s="42" t="s">
        <v>226</v>
      </c>
      <c r="B5" s="16">
        <f ca="1" t="shared" si="0"/>
        <v>39990</v>
      </c>
      <c r="C5" s="23">
        <v>100</v>
      </c>
      <c r="D5" s="17">
        <f>VLOOKUP($A5,Stocks!$A$2:$Z$999,7,FALSE)</f>
        <v>34.69</v>
      </c>
      <c r="E5" s="17">
        <f>VLOOKUP($A5,Stocks!$A$2:$Z$999,13,FALSE)</f>
        <v>36.36</v>
      </c>
      <c r="F5" s="19">
        <f>IF(AND(D5&gt;E5,E5+0&gt;0),(D5-E5)/E5,"")</f>
      </c>
      <c r="G5" s="17">
        <f>VLOOKUP($A5,Stocks!$A$2:$Z$999,14,FALSE)</f>
        <v>36.98</v>
      </c>
      <c r="H5" s="43">
        <f>IF(G5+0&gt;0,(D5-G5)/G5,"")</f>
        <v>-0.061925365062195765</v>
      </c>
      <c r="I5" s="17">
        <f>VLOOKUP($A5,Stocks!$A$2:$Z$999,10,FALSE)</f>
        <v>1.32</v>
      </c>
      <c r="J5" s="18">
        <f>I5/D5</f>
        <v>0.03805131161718075</v>
      </c>
      <c r="K5" s="17"/>
      <c r="L5" s="17"/>
      <c r="M5" s="19">
        <f>K5/D5</f>
        <v>0</v>
      </c>
      <c r="N5" s="16">
        <v>40012</v>
      </c>
      <c r="O5" s="17">
        <v>0.25</v>
      </c>
      <c r="P5" s="38">
        <v>36</v>
      </c>
      <c r="Q5" s="19">
        <f>(K5+O5)/D5</f>
        <v>0.007206687806284232</v>
      </c>
      <c r="R5" s="19">
        <f>IF(D5&gt;0,((MIN(D5,P5)-D5)+O5)/D5,"")</f>
        <v>0.007206687806284232</v>
      </c>
      <c r="S5" s="19">
        <f>IF(P5&gt;0,(P5-D5)/D5,"0")</f>
        <v>0.03776304410492944</v>
      </c>
      <c r="T5" s="19">
        <f>IF(D5&gt;0,(Q5+(P5-D5)/D5),"")</f>
        <v>0.04496973191121367</v>
      </c>
      <c r="U5" s="19"/>
      <c r="V5" s="20">
        <f>N5-B5</f>
        <v>22</v>
      </c>
      <c r="W5" s="19">
        <f>IF(D5&lt;P5,(((P5+K5+L5)*C5)/((D5-O5)*C5))^(365/V5)-1,(((P5+K5+L5+O5)*C5)/(D5*C5))^(365/V5)-1)</f>
        <v>1.0854435533738522</v>
      </c>
      <c r="X5" s="19">
        <f>IF(D5&lt;P5,((K5+L5+O5)/D5)*(365/V5),((O5+K5+L5)/D5)*365/V5)</f>
        <v>0.11956550224062475</v>
      </c>
      <c r="Y5" s="19">
        <f>IF(D5&lt;P5,((O5+L5)/D5)*(365/V5),((O5+L5)/D5)*365/V5)</f>
        <v>0.11956550224062475</v>
      </c>
      <c r="Z5" s="19">
        <f>IF(V5&gt;100,((P5)/D5)^(365/V5)-1,(P5-D5)/D5)</f>
        <v>0.03776304410492944</v>
      </c>
      <c r="AA5" s="19">
        <f>IF(P5&gt;D5,(P5-D5)/D5,0)</f>
        <v>0.03776304410492944</v>
      </c>
      <c r="AB5" s="36">
        <f>C5*(P5-D5+O5+L5+K5)</f>
        <v>156.00000000000023</v>
      </c>
      <c r="AC5" s="19">
        <f>(AB5)/(C5*D5)</f>
        <v>0.04496973191121367</v>
      </c>
      <c r="AD5" s="19">
        <f>W5/12</f>
        <v>0.09045362944782102</v>
      </c>
      <c r="AE5" s="19">
        <f>IF(J5&lt;0.01,AC5/(V5/30),AC5/(V5/30))</f>
        <v>0.061322361697109556</v>
      </c>
      <c r="AF5" s="19" t="str">
        <f>IF(AC5&lt;0.1,"low",IF(AE5&gt;0.025,"XCEL",IF(AE5&gt;0.0225,"VGD",IF(AE5&gt;0.02,"GOOD",IF(AE5&gt;0.0175,"OK",IF(AE5&gt;0.015,"MARG","BAD"))))))</f>
        <v>low</v>
      </c>
      <c r="AG5" s="19" t="str">
        <f>IF(J5&gt;0.02,UPPER(AF5),LOWER(AF5))</f>
        <v>LOW</v>
      </c>
      <c r="AH5" s="21">
        <f>C5*(O5+L5+K5)</f>
        <v>25</v>
      </c>
      <c r="AI5" s="24"/>
      <c r="AJ5" s="19"/>
      <c r="AK5" s="38">
        <f>IF(AJ5="Y",O5*C5,"")</f>
      </c>
      <c r="AM5" s="25"/>
      <c r="AN5" s="26"/>
    </row>
    <row r="6" spans="1:40" s="23" customFormat="1" ht="12.75">
      <c r="A6" s="42" t="s">
        <v>226</v>
      </c>
      <c r="B6" s="16">
        <f ca="1" t="shared" si="0"/>
        <v>39990</v>
      </c>
      <c r="C6" s="23">
        <v>100</v>
      </c>
      <c r="D6" s="17">
        <f>VLOOKUP($A6,Stocks!$A$2:$Z$999,7,FALSE)</f>
        <v>34.69</v>
      </c>
      <c r="E6" s="17">
        <f>VLOOKUP($A6,Stocks!$A$2:$Z$999,13,FALSE)</f>
        <v>36.36</v>
      </c>
      <c r="F6" s="19">
        <f>IF(AND(D6&gt;E6,E6+0&gt;0),(D6-E6)/E6,"")</f>
      </c>
      <c r="G6" s="17">
        <f>VLOOKUP($A6,Stocks!$A$2:$Z$999,14,FALSE)</f>
        <v>36.98</v>
      </c>
      <c r="H6" s="43">
        <f>IF(G6+0&gt;0,(D6-G6)/G6,"")</f>
        <v>-0.061925365062195765</v>
      </c>
      <c r="I6" s="17">
        <f>VLOOKUP($A6,Stocks!$A$2:$Z$999,10,FALSE)</f>
        <v>1.32</v>
      </c>
      <c r="J6" s="18">
        <f>I6/D6</f>
        <v>0.03805131161718075</v>
      </c>
      <c r="K6" s="17"/>
      <c r="L6" s="17"/>
      <c r="M6" s="19">
        <f>K6/D6</f>
        <v>0</v>
      </c>
      <c r="N6" s="16">
        <v>40041</v>
      </c>
      <c r="O6" s="17">
        <v>2.9</v>
      </c>
      <c r="P6" s="38">
        <v>32.5</v>
      </c>
      <c r="Q6" s="19">
        <f>(K6+O6)/D6</f>
        <v>0.0835975785528971</v>
      </c>
      <c r="R6" s="19">
        <f>IF(D6&gt;0,((MIN(D6,P6)-D6)+O6)/D6,"")</f>
        <v>0.020466993369847284</v>
      </c>
      <c r="S6" s="19">
        <f>IF(P6&gt;0,(P6-D6)/D6,"0")</f>
        <v>-0.06313058518304981</v>
      </c>
      <c r="T6" s="19">
        <f>IF(D6&gt;0,(Q6+(P6-D6)/D6),"")</f>
        <v>0.02046699336984728</v>
      </c>
      <c r="U6" s="19"/>
      <c r="V6" s="20">
        <f>N6-B6</f>
        <v>51</v>
      </c>
      <c r="W6" s="19">
        <f>IF(D6&lt;P6,(((P6+K6+L6)*C6)/((D6-O6)*C6))^(365/V6)-1,(((P6+K6+L6+O6)*C6)/(D6*C6))^(365/V6)-1)</f>
        <v>0.15604027506012952</v>
      </c>
      <c r="X6" s="19">
        <f>IF(D6&lt;P6,((K6+L6+O6)/D6)*(365/V6),((O6+K6+L6)/D6)*365/V6)</f>
        <v>0.5982963955256361</v>
      </c>
      <c r="Y6" s="19">
        <f>IF(D6&lt;P6,((O6+L6)/D6)*(365/V6),((O6+L6)/D6)*365/V6)</f>
        <v>0.5982963955256361</v>
      </c>
      <c r="Z6" s="19">
        <f>IF(V6&gt;100,((P6)/D6)^(365/V6)-1,(P6-D6)/D6)</f>
        <v>-0.06313058518304981</v>
      </c>
      <c r="AA6" s="19">
        <f>IF(P6&gt;D6,(P6-D6)/D6,0)</f>
        <v>0</v>
      </c>
      <c r="AB6" s="36">
        <f>C6*(P6-D6+O6+L6+K6)</f>
        <v>71.00000000000021</v>
      </c>
      <c r="AC6" s="19">
        <f>(AB6)/(C6*D6)</f>
        <v>0.02046699336984728</v>
      </c>
      <c r="AD6" s="19">
        <f>W6/12</f>
        <v>0.013003356255010793</v>
      </c>
      <c r="AE6" s="19">
        <f>IF(J6&lt;0.01,AC6/(V6/30),AC6/(V6/30))</f>
        <v>0.012039407864616047</v>
      </c>
      <c r="AF6" s="19" t="str">
        <f>IF(AC6&lt;0.1,"low",IF(AE6&gt;0.025,"XCEL",IF(AE6&gt;0.0225,"VGD",IF(AE6&gt;0.02,"GOOD",IF(AE6&gt;0.0175,"OK",IF(AE6&gt;0.015,"MARG","BAD"))))))</f>
        <v>low</v>
      </c>
      <c r="AG6" s="19" t="str">
        <f>IF(J6&gt;0.02,UPPER(AF6),LOWER(AF6))</f>
        <v>LOW</v>
      </c>
      <c r="AH6" s="21">
        <f>C6*(O6+L6+K6)</f>
        <v>290</v>
      </c>
      <c r="AI6" s="24"/>
      <c r="AJ6" s="19"/>
      <c r="AK6" s="38">
        <f>IF(AJ6="Y",O6*C6,"")</f>
      </c>
      <c r="AM6" s="25"/>
      <c r="AN6" s="26"/>
    </row>
    <row r="7" spans="1:40" s="23" customFormat="1" ht="12.75">
      <c r="A7" s="42" t="s">
        <v>226</v>
      </c>
      <c r="B7" s="16">
        <f ca="1" t="shared" si="0"/>
        <v>39990</v>
      </c>
      <c r="C7" s="23">
        <v>100</v>
      </c>
      <c r="D7" s="17">
        <f>VLOOKUP($A7,Stocks!$A$2:$Z$999,7,FALSE)</f>
        <v>34.69</v>
      </c>
      <c r="E7" s="17">
        <f>VLOOKUP($A7,Stocks!$A$2:$Z$999,13,FALSE)</f>
        <v>36.36</v>
      </c>
      <c r="F7" s="19">
        <f>IF(AND(D7&gt;E7,E7+0&gt;0),(D7-E7)/E7,"")</f>
      </c>
      <c r="G7" s="17">
        <f>VLOOKUP($A7,Stocks!$A$2:$Z$999,14,FALSE)</f>
        <v>36.98</v>
      </c>
      <c r="H7" s="43">
        <f>IF(G7+0&gt;0,(D7-G7)/G7,"")</f>
        <v>-0.061925365062195765</v>
      </c>
      <c r="I7" s="17">
        <f>VLOOKUP($A7,Stocks!$A$2:$Z$999,10,FALSE)</f>
        <v>1.32</v>
      </c>
      <c r="J7" s="18">
        <f>I7/D7</f>
        <v>0.03805131161718075</v>
      </c>
      <c r="K7" s="17"/>
      <c r="L7" s="17"/>
      <c r="M7" s="19">
        <f>K7/D7</f>
        <v>0</v>
      </c>
      <c r="N7" s="16">
        <v>40041</v>
      </c>
      <c r="O7" s="17">
        <v>1.85</v>
      </c>
      <c r="P7" s="38">
        <v>34</v>
      </c>
      <c r="Q7" s="19">
        <f>(K7+O7)/D7</f>
        <v>0.05332948976650332</v>
      </c>
      <c r="R7" s="19">
        <f>IF(D7&gt;0,((MIN(D7,P7)-D7)+O7)/D7,"")</f>
        <v>0.03343903142115891</v>
      </c>
      <c r="S7" s="19">
        <f>IF(P7&gt;0,(P7-D7)/D7,"0")</f>
        <v>-0.019890458345344416</v>
      </c>
      <c r="T7" s="19">
        <f>IF(D7&gt;0,(Q7+(P7-D7)/D7),"")</f>
        <v>0.03343903142115891</v>
      </c>
      <c r="U7" s="19"/>
      <c r="V7" s="20">
        <f>N7-B7</f>
        <v>51</v>
      </c>
      <c r="W7" s="19">
        <f>IF(D7&lt;P7,(((P7+K7+L7)*C7)/((D7-O7)*C7))^(365/V7)-1,(((P7+K7+L7+O7)*C7)/(D7*C7))^(365/V7)-1)</f>
        <v>0.26542026018599296</v>
      </c>
      <c r="X7" s="19">
        <f>IF(D7&lt;P7,((K7+L7+O7)/D7)*(365/V7),((O7+K7+L7)/D7)*365/V7)</f>
        <v>0.38167183852497477</v>
      </c>
      <c r="Y7" s="19">
        <f>IF(D7&lt;P7,((O7+L7)/D7)*(365/V7),((O7+L7)/D7)*365/V7)</f>
        <v>0.38167183852497477</v>
      </c>
      <c r="Z7" s="19">
        <f>IF(V7&gt;100,((P7)/D7)^(365/V7)-1,(P7-D7)/D7)</f>
        <v>-0.019890458345344416</v>
      </c>
      <c r="AA7" s="19">
        <f>IF(P7&gt;D7,(P7-D7)/D7,0)</f>
        <v>0</v>
      </c>
      <c r="AB7" s="36">
        <f>C7*(P7-D7+O7+L7+K7)</f>
        <v>116.00000000000024</v>
      </c>
      <c r="AC7" s="19">
        <f>(AB7)/(C7*D7)</f>
        <v>0.03343903142115891</v>
      </c>
      <c r="AD7" s="19">
        <f>W7/12</f>
        <v>0.022118355015499414</v>
      </c>
      <c r="AE7" s="19">
        <f>IF(J7&lt;0.01,AC7/(V7/30),AC7/(V7/30))</f>
        <v>0.01967001848303465</v>
      </c>
      <c r="AF7" s="19" t="str">
        <f>IF(AC7&lt;0.1,"low",IF(AE7&gt;0.025,"XCEL",IF(AE7&gt;0.0225,"VGD",IF(AE7&gt;0.02,"GOOD",IF(AE7&gt;0.0175,"OK",IF(AE7&gt;0.015,"MARG","BAD"))))))</f>
        <v>low</v>
      </c>
      <c r="AG7" s="19" t="str">
        <f>IF(J7&gt;0.02,UPPER(AF7),LOWER(AF7))</f>
        <v>LOW</v>
      </c>
      <c r="AH7" s="21">
        <f>C7*(O7+L7+K7)</f>
        <v>185</v>
      </c>
      <c r="AI7" s="24"/>
      <c r="AJ7" s="19"/>
      <c r="AK7" s="38">
        <f>IF(AJ7="Y",O7*C7,"")</f>
      </c>
      <c r="AM7" s="25"/>
      <c r="AN7" s="26"/>
    </row>
    <row r="8" spans="1:40" s="23" customFormat="1" ht="12.75">
      <c r="A8" s="23" t="s">
        <v>226</v>
      </c>
      <c r="B8" s="16">
        <f ca="1" t="shared" si="0"/>
        <v>39990</v>
      </c>
      <c r="C8" s="23">
        <v>100</v>
      </c>
      <c r="D8" s="17">
        <f>VLOOKUP($A8,Stocks!$A$2:$Z$999,7,FALSE)</f>
        <v>34.69</v>
      </c>
      <c r="E8" s="17">
        <f>VLOOKUP($A8,Stocks!$A$2:$Z$999,13,FALSE)</f>
        <v>36.36</v>
      </c>
      <c r="F8" s="19">
        <f>IF(AND(D8&gt;E8,E8+0&gt;0),(D8-E8)/E8,"")</f>
      </c>
      <c r="G8" s="17">
        <f>VLOOKUP($A8,Stocks!$A$2:$Z$999,14,FALSE)</f>
        <v>36.98</v>
      </c>
      <c r="H8" s="43">
        <f>IF(G8+0&gt;0,(D8-G8)/G8,"")</f>
        <v>-0.061925365062195765</v>
      </c>
      <c r="I8" s="17">
        <f>VLOOKUP($A8,Stocks!$A$2:$Z$999,10,FALSE)</f>
        <v>1.32</v>
      </c>
      <c r="J8" s="18">
        <f>I8/D8</f>
        <v>0.03805131161718075</v>
      </c>
      <c r="K8" s="17"/>
      <c r="L8" s="17"/>
      <c r="M8" s="19">
        <f>K8/D8</f>
        <v>0</v>
      </c>
      <c r="N8" s="16">
        <v>40041</v>
      </c>
      <c r="O8" s="17">
        <v>1.3</v>
      </c>
      <c r="P8" s="38">
        <v>35</v>
      </c>
      <c r="Q8" s="19">
        <f>(K8+O8)/D8</f>
        <v>0.03747477659267801</v>
      </c>
      <c r="R8" s="19">
        <f>IF(D8&gt;0,((MIN(D8,P8)-D8)+O8)/D8,"")</f>
        <v>0.03747477659267801</v>
      </c>
      <c r="S8" s="19">
        <f>IF(P8&gt;0,(P8-D8)/D8,"0")</f>
        <v>0.008936292879792513</v>
      </c>
      <c r="T8" s="19">
        <f>IF(D8&gt;0,(Q8+(P8-D8)/D8),"")</f>
        <v>0.04641106947247053</v>
      </c>
      <c r="U8" s="19"/>
      <c r="V8" s="20">
        <f>N8-B8</f>
        <v>51</v>
      </c>
      <c r="W8" s="19">
        <f>IF(D8&lt;P8,(((P8+K8+L8)*C8)/((D8-O8)*C8))^(365/V8)-1,(((P8+K8+L8+O8)*C8)/(D8*C8))^(365/V8)-1)</f>
        <v>0.40077852530707325</v>
      </c>
      <c r="X8" s="19">
        <f>IF(D8&lt;P8,((K8+L8+O8)/D8)*(365/V8),((O8+K8+L8)/D8)*365/V8)</f>
        <v>0.2682018324770093</v>
      </c>
      <c r="Y8" s="19">
        <f>IF(D8&lt;P8,((O8+L8)/D8)*(365/V8),((O8+L8)/D8)*365/V8)</f>
        <v>0.2682018324770093</v>
      </c>
      <c r="Z8" s="19">
        <f>IF(V8&gt;100,((P8)/D8)^(365/V8)-1,(P8-D8)/D8)</f>
        <v>0.008936292879792513</v>
      </c>
      <c r="AA8" s="19">
        <f>IF(P8&gt;D8,(P8-D8)/D8,0)</f>
        <v>0.008936292879792513</v>
      </c>
      <c r="AB8" s="36">
        <f>C8*(P8-D8+O8+L8+K8)</f>
        <v>161.00000000000023</v>
      </c>
      <c r="AC8" s="19">
        <f>(AB8)/(C8*D8)</f>
        <v>0.04641106947247052</v>
      </c>
      <c r="AD8" s="19">
        <f>W8/12</f>
        <v>0.033398210442256104</v>
      </c>
      <c r="AE8" s="19">
        <f>IF(J8&lt;0.01,AC8/(V8/30),AC8/(V8/30))</f>
        <v>0.02730062910145325</v>
      </c>
      <c r="AF8" s="19" t="str">
        <f>IF(AC8&lt;0.1,"low",IF(AE8&gt;0.025,"XCEL",IF(AE8&gt;0.0225,"VGD",IF(AE8&gt;0.02,"GOOD",IF(AE8&gt;0.0175,"OK",IF(AE8&gt;0.015,"MARG","BAD"))))))</f>
        <v>low</v>
      </c>
      <c r="AG8" s="19" t="str">
        <f>IF(J8&gt;0.02,UPPER(AF8),LOWER(AF8))</f>
        <v>LOW</v>
      </c>
      <c r="AH8" s="21">
        <f>C8*(O8+L8+K8)</f>
        <v>130</v>
      </c>
      <c r="AI8" s="24"/>
      <c r="AJ8" s="19"/>
      <c r="AK8" s="38">
        <f>IF(AJ8="Y",O8*C8,"")</f>
      </c>
      <c r="AM8" s="25"/>
      <c r="AN8" s="26"/>
    </row>
    <row r="9" spans="1:40" s="23" customFormat="1" ht="12.75">
      <c r="A9" s="42" t="s">
        <v>226</v>
      </c>
      <c r="B9" s="16">
        <f ca="1" t="shared" si="0"/>
        <v>39990</v>
      </c>
      <c r="C9" s="23">
        <v>100</v>
      </c>
      <c r="D9" s="17">
        <f>VLOOKUP($A9,Stocks!$A$2:$Z$999,7,FALSE)</f>
        <v>34.69</v>
      </c>
      <c r="E9" s="17">
        <f>VLOOKUP($A9,Stocks!$A$2:$Z$999,13,FALSE)</f>
        <v>36.36</v>
      </c>
      <c r="F9" s="19">
        <f>IF(AND(D9&gt;E9,E9+0&gt;0),(D9-E9)/E9,"")</f>
      </c>
      <c r="G9" s="17">
        <f>VLOOKUP($A9,Stocks!$A$2:$Z$999,14,FALSE)</f>
        <v>36.98</v>
      </c>
      <c r="H9" s="43">
        <f>IF(G9+0&gt;0,(D9-G9)/G9,"")</f>
        <v>-0.061925365062195765</v>
      </c>
      <c r="I9" s="17">
        <f>VLOOKUP($A9,Stocks!$A$2:$Z$999,10,FALSE)</f>
        <v>1.32</v>
      </c>
      <c r="J9" s="18">
        <f>I9/D9</f>
        <v>0.03805131161718075</v>
      </c>
      <c r="K9" s="17"/>
      <c r="L9" s="17"/>
      <c r="M9" s="19">
        <f>K9/D9</f>
        <v>0</v>
      </c>
      <c r="N9" s="16">
        <v>40041</v>
      </c>
      <c r="O9" s="17">
        <v>0.85</v>
      </c>
      <c r="P9" s="38">
        <v>36</v>
      </c>
      <c r="Q9" s="19">
        <f>(K9+O9)/D9</f>
        <v>0.02450273854136639</v>
      </c>
      <c r="R9" s="19">
        <f>IF(D9&gt;0,((MIN(D9,P9)-D9)+O9)/D9,"")</f>
        <v>0.02450273854136639</v>
      </c>
      <c r="S9" s="19">
        <f>IF(P9&gt;0,(P9-D9)/D9,"0")</f>
        <v>0.03776304410492944</v>
      </c>
      <c r="T9" s="19">
        <f>IF(D9&gt;0,(Q9+(P9-D9)/D9),"")</f>
        <v>0.06226578264629583</v>
      </c>
      <c r="U9" s="19"/>
      <c r="V9" s="20">
        <f>N9-B9</f>
        <v>51</v>
      </c>
      <c r="W9" s="19">
        <f>IF(D9&lt;P9,(((P9+K9+L9)*C9)/((D9-O9)*C9))^(365/V9)-1,(((P9+K9+L9+O9)*C9)/(D9*C9))^(365/V9)-1)</f>
        <v>0.5571134765137937</v>
      </c>
      <c r="X9" s="19">
        <f>IF(D9&lt;P9,((K9+L9+O9)/D9)*(365/V9),((O9+K9+L9)/D9)*365/V9)</f>
        <v>0.175362736619583</v>
      </c>
      <c r="Y9" s="19">
        <f>IF(D9&lt;P9,((O9+L9)/D9)*(365/V9),((O9+L9)/D9)*365/V9)</f>
        <v>0.175362736619583</v>
      </c>
      <c r="Z9" s="19">
        <f>IF(V9&gt;100,((P9)/D9)^(365/V9)-1,(P9-D9)/D9)</f>
        <v>0.03776304410492944</v>
      </c>
      <c r="AA9" s="19">
        <f>IF(P9&gt;D9,(P9-D9)/D9,0)</f>
        <v>0.03776304410492944</v>
      </c>
      <c r="AB9" s="36">
        <f>C9*(P9-D9+O9+L9+K9)</f>
        <v>216.00000000000023</v>
      </c>
      <c r="AC9" s="19">
        <f>(AB9)/(C9*D9)</f>
        <v>0.06226578264629583</v>
      </c>
      <c r="AD9" s="19">
        <f>W9/12</f>
        <v>0.046426123042816146</v>
      </c>
      <c r="AE9" s="19">
        <f>IF(J9&lt;0.01,AC9/(V9/30),AC9/(V9/30))</f>
        <v>0.03662693096840931</v>
      </c>
      <c r="AF9" s="19" t="str">
        <f>IF(AC9&lt;0.1,"low",IF(AE9&gt;0.025,"XCEL",IF(AE9&gt;0.0225,"VGD",IF(AE9&gt;0.02,"GOOD",IF(AE9&gt;0.0175,"OK",IF(AE9&gt;0.015,"MARG","BAD"))))))</f>
        <v>low</v>
      </c>
      <c r="AG9" s="19" t="str">
        <f>IF(J9&gt;0.02,UPPER(AF9),LOWER(AF9))</f>
        <v>LOW</v>
      </c>
      <c r="AH9" s="21">
        <f>C9*(O9+L9+K9)</f>
        <v>85</v>
      </c>
      <c r="AI9" s="24"/>
      <c r="AJ9" s="19"/>
      <c r="AK9" s="38">
        <f>IF(AJ9="Y",O9*C9,"")</f>
      </c>
      <c r="AM9" s="25"/>
      <c r="AN9" s="26"/>
    </row>
    <row r="10" spans="1:40" s="23" customFormat="1" ht="12.75">
      <c r="A10" s="42" t="s">
        <v>226</v>
      </c>
      <c r="B10" s="16">
        <f ca="1" t="shared" si="0"/>
        <v>39990</v>
      </c>
      <c r="C10" s="23">
        <v>100</v>
      </c>
      <c r="D10" s="17">
        <f>VLOOKUP($A10,Stocks!$A$2:$Z$999,7,FALSE)</f>
        <v>34.69</v>
      </c>
      <c r="E10" s="17">
        <f>VLOOKUP($A10,Stocks!$A$2:$Z$999,13,FALSE)</f>
        <v>36.36</v>
      </c>
      <c r="F10" s="19">
        <f>IF(AND(D10&gt;E10,E10+0&gt;0),(D10-E10)/E10,"")</f>
      </c>
      <c r="G10" s="17">
        <f>VLOOKUP($A10,Stocks!$A$2:$Z$999,14,FALSE)</f>
        <v>36.98</v>
      </c>
      <c r="H10" s="43">
        <f>IF(G10+0&gt;0,(D10-G10)/G10,"")</f>
        <v>-0.061925365062195765</v>
      </c>
      <c r="I10" s="17">
        <f>VLOOKUP($A10,Stocks!$A$2:$Z$999,10,FALSE)</f>
        <v>1.32</v>
      </c>
      <c r="J10" s="18">
        <f>I10/D10</f>
        <v>0.03805131161718075</v>
      </c>
      <c r="K10" s="17"/>
      <c r="L10" s="17"/>
      <c r="M10" s="19">
        <f>K10/D10</f>
        <v>0</v>
      </c>
      <c r="N10" s="16">
        <v>40041</v>
      </c>
      <c r="O10" s="17">
        <v>0.38</v>
      </c>
      <c r="P10" s="38">
        <v>37</v>
      </c>
      <c r="Q10" s="19">
        <f>(K10+O10)/D10</f>
        <v>0.010954165465552033</v>
      </c>
      <c r="R10" s="19">
        <f>IF(D10&gt;0,((MIN(D10,P10)-D10)+O10)/D10,"")</f>
        <v>0.010954165465552033</v>
      </c>
      <c r="S10" s="19">
        <f>IF(P10&gt;0,(P10-D10)/D10,"0")</f>
        <v>0.06658979533006637</v>
      </c>
      <c r="T10" s="19">
        <f>IF(D10&gt;0,(Q10+(P10-D10)/D10),"")</f>
        <v>0.0775439607956184</v>
      </c>
      <c r="U10" s="19"/>
      <c r="V10" s="20">
        <f>N10-B10</f>
        <v>51</v>
      </c>
      <c r="W10" s="19">
        <f>IF(D10&lt;P10,(((P10+K10+L10)*C10)/((D10-O10)*C10))^(365/V10)-1,(((P10+K10+L10+O10)*C10)/(D10*C10))^(365/V10)-1)</f>
        <v>0.7163630667192302</v>
      </c>
      <c r="X10" s="19">
        <f>IF(D10&lt;P10,((K10+L10+O10)/D10)*(365/V10),((O10+K10+L10)/D10)*365/V10)</f>
        <v>0.07839745872404887</v>
      </c>
      <c r="Y10" s="19">
        <f>IF(D10&lt;P10,((O10+L10)/D10)*(365/V10),((O10+L10)/D10)*365/V10)</f>
        <v>0.07839745872404887</v>
      </c>
      <c r="Z10" s="19">
        <f>IF(V10&gt;100,((P10)/D10)^(365/V10)-1,(P10-D10)/D10)</f>
        <v>0.06658979533006637</v>
      </c>
      <c r="AA10" s="19">
        <f>IF(P10&gt;D10,(P10-D10)/D10,0)</f>
        <v>0.06658979533006637</v>
      </c>
      <c r="AB10" s="36">
        <f>C10*(P10-D10+O10+L10+K10)</f>
        <v>269.0000000000002</v>
      </c>
      <c r="AC10" s="19">
        <f>(AB10)/(C10*D10)</f>
        <v>0.0775439607956184</v>
      </c>
      <c r="AD10" s="19">
        <f>W10/12</f>
        <v>0.05969692222660252</v>
      </c>
      <c r="AE10" s="19">
        <f>IF(J10&lt;0.01,AC10/(V10/30),AC10/(V10/30))</f>
        <v>0.045614094585657884</v>
      </c>
      <c r="AF10" s="19" t="str">
        <f>IF(AC10&lt;0.1,"low",IF(AE10&gt;0.025,"XCEL",IF(AE10&gt;0.0225,"VGD",IF(AE10&gt;0.02,"GOOD",IF(AE10&gt;0.0175,"OK",IF(AE10&gt;0.015,"MARG","BAD"))))))</f>
        <v>low</v>
      </c>
      <c r="AG10" s="19" t="str">
        <f>IF(J10&gt;0.02,UPPER(AF10),LOWER(AF10))</f>
        <v>LOW</v>
      </c>
      <c r="AH10" s="21">
        <f>C10*(O10+L10+K10)</f>
        <v>38</v>
      </c>
      <c r="AI10" s="24"/>
      <c r="AJ10" s="19"/>
      <c r="AK10" s="38">
        <f>IF(AJ10="Y",O10*C10,"")</f>
      </c>
      <c r="AM10" s="25"/>
      <c r="AN10" s="26"/>
    </row>
    <row r="11" spans="1:40" s="23" customFormat="1" ht="12.75">
      <c r="A11" s="42" t="s">
        <v>226</v>
      </c>
      <c r="B11" s="16">
        <f ca="1" t="shared" si="0"/>
        <v>39990</v>
      </c>
      <c r="C11" s="23">
        <v>100</v>
      </c>
      <c r="D11" s="17">
        <f>VLOOKUP($A11,Stocks!$A$2:$Z$999,7,FALSE)</f>
        <v>34.69</v>
      </c>
      <c r="E11" s="17">
        <f>VLOOKUP($A11,Stocks!$A$2:$Z$999,13,FALSE)</f>
        <v>36.36</v>
      </c>
      <c r="F11" s="19">
        <f>IF(AND(D11&gt;E11,E11+0&gt;0),(D11-E11)/E11,"")</f>
      </c>
      <c r="G11" s="17">
        <f>VLOOKUP($A11,Stocks!$A$2:$Z$999,14,FALSE)</f>
        <v>36.98</v>
      </c>
      <c r="H11" s="43">
        <f>IF(G11+0&gt;0,(D11-G11)/G11,"")</f>
        <v>-0.061925365062195765</v>
      </c>
      <c r="I11" s="17">
        <f>VLOOKUP($A11,Stocks!$A$2:$Z$999,10,FALSE)</f>
        <v>1.32</v>
      </c>
      <c r="J11" s="18">
        <f>I11/D11</f>
        <v>0.03805131161718075</v>
      </c>
      <c r="K11" s="17">
        <v>0.33</v>
      </c>
      <c r="L11" s="17"/>
      <c r="M11" s="19">
        <f>K11/D11</f>
        <v>0.009512827904295187</v>
      </c>
      <c r="N11" s="16">
        <v>40137</v>
      </c>
      <c r="O11" s="17">
        <v>3.5</v>
      </c>
      <c r="P11" s="38">
        <v>32.5</v>
      </c>
      <c r="Q11" s="19">
        <f>(K11+O11)/D11</f>
        <v>0.11040645719227445</v>
      </c>
      <c r="R11" s="19">
        <f>IF(D11&gt;0,((MIN(D11,P11)-D11)+O11)/D11,"")</f>
        <v>0.03776304410492944</v>
      </c>
      <c r="S11" s="19">
        <f>IF(P11&gt;0,(P11-D11)/D11,"0")</f>
        <v>-0.06313058518304981</v>
      </c>
      <c r="T11" s="19">
        <f>IF(D11&gt;0,(Q11+(P11-D11)/D11),"")</f>
        <v>0.04727587200922463</v>
      </c>
      <c r="U11" s="19"/>
      <c r="V11" s="20">
        <f>N11-B11</f>
        <v>147</v>
      </c>
      <c r="W11" s="19">
        <f>IF(D11&lt;P11,(((P11+K11+L11)*C11)/((D11-O11)*C11))^(365/V11)-1,(((P11+K11+L11+O11)*C11)/(D11*C11))^(365/V11)-1)</f>
        <v>0.12153174267565592</v>
      </c>
      <c r="X11" s="19">
        <f>IF(D11&lt;P11,((K11+L11+O11)/D11)*(365/V11),((O11+K11+L11)/D11)*365/V11)</f>
        <v>0.2741384821440828</v>
      </c>
      <c r="Y11" s="19">
        <f>IF(D11&lt;P11,((O11+L11)/D11)*(365/V11),((O11+L11)/D11)*365/V11)</f>
        <v>0.2505181951708328</v>
      </c>
      <c r="Z11" s="19">
        <f>IF(V11&gt;100,((P11)/D11)^(365/V11)-1,(P11-D11)/D11)</f>
        <v>-0.14949024048707293</v>
      </c>
      <c r="AA11" s="19">
        <f>IF(P11&gt;D11,(P11-D11)/D11,0)</f>
        <v>0</v>
      </c>
      <c r="AB11" s="36">
        <f>C11*(P11-D11+O11+L11+K11)</f>
        <v>164.00000000000023</v>
      </c>
      <c r="AC11" s="19">
        <f>(AB11)/(C11*D11)</f>
        <v>0.047275872009224625</v>
      </c>
      <c r="AD11" s="19">
        <f>W11/12</f>
        <v>0.010127645222971327</v>
      </c>
      <c r="AE11" s="19">
        <f>IF(J11&lt;0.01,AC11/(V11/30),AC11/(V11/30))</f>
        <v>0.009648137144739718</v>
      </c>
      <c r="AF11" s="19" t="str">
        <f>IF(AC11&lt;0.1,"low",IF(AE11&gt;0.025,"XCEL",IF(AE11&gt;0.0225,"VGD",IF(AE11&gt;0.02,"GOOD",IF(AE11&gt;0.0175,"OK",IF(AE11&gt;0.015,"MARG","BAD"))))))</f>
        <v>low</v>
      </c>
      <c r="AG11" s="19" t="str">
        <f>IF(J11&gt;0.02,UPPER(AF11),LOWER(AF11))</f>
        <v>LOW</v>
      </c>
      <c r="AH11" s="21">
        <f>C11*(O11+L11+K11)</f>
        <v>383</v>
      </c>
      <c r="AI11" s="24"/>
      <c r="AJ11" s="19"/>
      <c r="AK11" s="38">
        <f>IF(AJ11="Y",O11*C11,"")</f>
      </c>
      <c r="AM11" s="25"/>
      <c r="AN11" s="26"/>
    </row>
    <row r="12" spans="1:40" s="23" customFormat="1" ht="12.75">
      <c r="A12" s="42" t="s">
        <v>226</v>
      </c>
      <c r="B12" s="16">
        <f ca="1" t="shared" si="0"/>
        <v>39990</v>
      </c>
      <c r="C12" s="23">
        <v>100</v>
      </c>
      <c r="D12" s="17">
        <f>VLOOKUP($A12,Stocks!$A$2:$Z$999,7,FALSE)</f>
        <v>34.69</v>
      </c>
      <c r="E12" s="17">
        <f>VLOOKUP($A12,Stocks!$A$2:$Z$999,13,FALSE)</f>
        <v>36.36</v>
      </c>
      <c r="F12" s="19">
        <f>IF(AND(D12&gt;E12,E12+0&gt;0),(D12-E12)/E12,"")</f>
      </c>
      <c r="G12" s="17">
        <f>VLOOKUP($A12,Stocks!$A$2:$Z$999,14,FALSE)</f>
        <v>36.98</v>
      </c>
      <c r="H12" s="43">
        <f>IF(G12+0&gt;0,(D12-G12)/G12,"")</f>
        <v>-0.061925365062195765</v>
      </c>
      <c r="I12" s="17">
        <f>VLOOKUP($A12,Stocks!$A$2:$Z$999,10,FALSE)</f>
        <v>1.32</v>
      </c>
      <c r="J12" s="18">
        <f>I12/D12</f>
        <v>0.03805131161718075</v>
      </c>
      <c r="K12" s="17">
        <v>0.33</v>
      </c>
      <c r="L12" s="17"/>
      <c r="M12" s="19">
        <f>K12/D12</f>
        <v>0.009512827904295187</v>
      </c>
      <c r="N12" s="16">
        <v>40137</v>
      </c>
      <c r="O12" s="17">
        <v>2.6</v>
      </c>
      <c r="P12" s="38">
        <v>34</v>
      </c>
      <c r="Q12" s="19">
        <f>(K12+O12)/D12</f>
        <v>0.0844623810896512</v>
      </c>
      <c r="R12" s="19">
        <f>IF(D12&gt;0,((MIN(D12,P12)-D12)+O12)/D12,"")</f>
        <v>0.055059094840011605</v>
      </c>
      <c r="S12" s="19">
        <f>IF(P12&gt;0,(P12-D12)/D12,"0")</f>
        <v>-0.019890458345344416</v>
      </c>
      <c r="T12" s="19">
        <f>IF(D12&gt;0,(Q12+(P12-D12)/D12),"")</f>
        <v>0.06457192274430679</v>
      </c>
      <c r="U12" s="19"/>
      <c r="V12" s="20">
        <f>N12-B12</f>
        <v>147</v>
      </c>
      <c r="W12" s="19">
        <f>IF(D12&lt;P12,(((P12+K12+L12)*C12)/((D12-O12)*C12))^(365/V12)-1,(((P12+K12+L12+O12)*C12)/(D12*C12))^(365/V12)-1)</f>
        <v>0.16808745444959183</v>
      </c>
      <c r="X12" s="19">
        <f>IF(D12&lt;P12,((K12+L12+O12)/D12)*(365/V12),((O12+K12+L12)/D12)*365/V12)</f>
        <v>0.20971951767158292</v>
      </c>
      <c r="Y12" s="19">
        <f>IF(D12&lt;P12,((O12+L12)/D12)*(365/V12),((O12+L12)/D12)*365/V12)</f>
        <v>0.18609923069833298</v>
      </c>
      <c r="Z12" s="19">
        <f>IF(V12&gt;100,((P12)/D12)^(365/V12)-1,(P12-D12)/D12)</f>
        <v>-0.048661804112761</v>
      </c>
      <c r="AA12" s="19">
        <f>IF(P12&gt;D12,(P12-D12)/D12,0)</f>
        <v>0</v>
      </c>
      <c r="AB12" s="36">
        <f>C12*(P12-D12+O12+L12+K12)</f>
        <v>224.00000000000026</v>
      </c>
      <c r="AC12" s="19">
        <f>(AB12)/(C12*D12)</f>
        <v>0.06457192274430679</v>
      </c>
      <c r="AD12" s="19">
        <f>W12/12</f>
        <v>0.01400728787079932</v>
      </c>
      <c r="AE12" s="19">
        <f>IF(J12&lt;0.01,AC12/(V12/30),AC12/(V12/30))</f>
        <v>0.013177943417205466</v>
      </c>
      <c r="AF12" s="19" t="str">
        <f>IF(AC12&lt;0.1,"low",IF(AE12&gt;0.025,"XCEL",IF(AE12&gt;0.0225,"VGD",IF(AE12&gt;0.02,"GOOD",IF(AE12&gt;0.0175,"OK",IF(AE12&gt;0.015,"MARG","BAD"))))))</f>
        <v>low</v>
      </c>
      <c r="AG12" s="19" t="str">
        <f>IF(J12&gt;0.02,UPPER(AF12),LOWER(AF12))</f>
        <v>LOW</v>
      </c>
      <c r="AH12" s="21">
        <f>C12*(O12+L12+K12)</f>
        <v>293</v>
      </c>
      <c r="AI12" s="24"/>
      <c r="AJ12" s="19"/>
      <c r="AK12" s="38">
        <f>IF(AJ12="Y",O12*C12,"")</f>
      </c>
      <c r="AM12" s="25"/>
      <c r="AN12" s="26"/>
    </row>
    <row r="13" spans="1:40" s="23" customFormat="1" ht="12.75">
      <c r="A13" s="23" t="s">
        <v>226</v>
      </c>
      <c r="B13" s="16">
        <f ca="1" t="shared" si="0"/>
        <v>39990</v>
      </c>
      <c r="C13" s="23">
        <v>100</v>
      </c>
      <c r="D13" s="17">
        <f>VLOOKUP($A13,Stocks!$A$2:$Z$999,7,FALSE)</f>
        <v>34.69</v>
      </c>
      <c r="E13" s="17">
        <f>VLOOKUP($A13,Stocks!$A$2:$Z$999,13,FALSE)</f>
        <v>36.36</v>
      </c>
      <c r="F13" s="19">
        <f>IF(AND(D13&gt;E13,E13+0&gt;0),(D13-E13)/E13,"")</f>
      </c>
      <c r="G13" s="17">
        <f>VLOOKUP($A13,Stocks!$A$2:$Z$999,14,FALSE)</f>
        <v>36.98</v>
      </c>
      <c r="H13" s="43">
        <f>IF(G13+0&gt;0,(D13-G13)/G13,"")</f>
        <v>-0.061925365062195765</v>
      </c>
      <c r="I13" s="17">
        <f>VLOOKUP($A13,Stocks!$A$2:$Z$999,10,FALSE)</f>
        <v>1.32</v>
      </c>
      <c r="J13" s="18">
        <f>I13/D13</f>
        <v>0.03805131161718075</v>
      </c>
      <c r="K13" s="17">
        <v>0.33</v>
      </c>
      <c r="L13" s="17"/>
      <c r="M13" s="19">
        <f>K13/D13</f>
        <v>0.009512827904295187</v>
      </c>
      <c r="N13" s="16">
        <v>40137</v>
      </c>
      <c r="O13" s="17">
        <v>2.05</v>
      </c>
      <c r="P13" s="38">
        <v>35</v>
      </c>
      <c r="Q13" s="19">
        <f>(K13+O13)/D13</f>
        <v>0.06860766791582588</v>
      </c>
      <c r="R13" s="19">
        <f>IF(D13&gt;0,((MIN(D13,P13)-D13)+O13)/D13,"")</f>
        <v>0.0590948400115307</v>
      </c>
      <c r="S13" s="19">
        <f>IF(P13&gt;0,(P13-D13)/D13,"0")</f>
        <v>0.008936292879792513</v>
      </c>
      <c r="T13" s="19">
        <f>IF(D13&gt;0,(Q13+(P13-D13)/D13),"")</f>
        <v>0.0775439607956184</v>
      </c>
      <c r="U13" s="19"/>
      <c r="V13" s="20">
        <f>N13-B13</f>
        <v>147</v>
      </c>
      <c r="W13" s="19">
        <f>IF(D13&lt;P13,(((P13+K13+L13)*C13)/((D13-O13)*C13))^(365/V13)-1,(((P13+K13+L13+O13)*C13)/(D13*C13))^(365/V13)-1)</f>
        <v>0.21730328816126487</v>
      </c>
      <c r="X13" s="19">
        <f>IF(D13&lt;P13,((K13+L13+O13)/D13)*(365/V13),((O13+K13+L13)/D13)*365/V13)</f>
        <v>0.1703523727161663</v>
      </c>
      <c r="Y13" s="19">
        <f>IF(D13&lt;P13,((O13+L13)/D13)*(365/V13),((O13+L13)/D13)*365/V13)</f>
        <v>0.14673208574291635</v>
      </c>
      <c r="Z13" s="19">
        <f>IF(V13&gt;100,((P13)/D13)^(365/V13)-1,(P13-D13)/D13)</f>
        <v>0.022335993525477216</v>
      </c>
      <c r="AA13" s="19">
        <f>IF(P13&gt;D13,(P13-D13)/D13,0)</f>
        <v>0.008936292879792513</v>
      </c>
      <c r="AB13" s="36">
        <f>C13*(P13-D13+O13+L13+K13)</f>
        <v>269.0000000000002</v>
      </c>
      <c r="AC13" s="19">
        <f>(AB13)/(C13*D13)</f>
        <v>0.0775439607956184</v>
      </c>
      <c r="AD13" s="19">
        <f>W13/12</f>
        <v>0.01810860734677207</v>
      </c>
      <c r="AE13" s="19">
        <f>IF(J13&lt;0.01,AC13/(V13/30),AC13/(V13/30))</f>
        <v>0.015825298121554775</v>
      </c>
      <c r="AF13" s="19" t="str">
        <f>IF(AC13&lt;0.1,"low",IF(AE13&gt;0.025,"XCEL",IF(AE13&gt;0.0225,"VGD",IF(AE13&gt;0.02,"GOOD",IF(AE13&gt;0.0175,"OK",IF(AE13&gt;0.015,"MARG","BAD"))))))</f>
        <v>low</v>
      </c>
      <c r="AG13" s="19" t="str">
        <f>IF(J13&gt;0.02,UPPER(AF13),LOWER(AF13))</f>
        <v>LOW</v>
      </c>
      <c r="AH13" s="21">
        <f>C13*(O13+L13+K13)</f>
        <v>238</v>
      </c>
      <c r="AI13" s="24"/>
      <c r="AJ13" s="19"/>
      <c r="AK13" s="38">
        <f>IF(AJ13="Y",O13*C13,"")</f>
      </c>
      <c r="AM13" s="25"/>
      <c r="AN13" s="26"/>
    </row>
    <row r="14" spans="1:40" s="23" customFormat="1" ht="12.75">
      <c r="A14" s="42" t="s">
        <v>226</v>
      </c>
      <c r="B14" s="16">
        <f ca="1" t="shared" si="0"/>
        <v>39990</v>
      </c>
      <c r="C14" s="23">
        <v>100</v>
      </c>
      <c r="D14" s="17">
        <f>VLOOKUP($A14,Stocks!$A$2:$Z$999,7,FALSE)</f>
        <v>34.69</v>
      </c>
      <c r="E14" s="17">
        <f>VLOOKUP($A14,Stocks!$A$2:$Z$999,13,FALSE)</f>
        <v>36.36</v>
      </c>
      <c r="F14" s="19">
        <f>IF(AND(D14&gt;E14,E14+0&gt;0),(D14-E14)/E14,"")</f>
      </c>
      <c r="G14" s="17">
        <f>VLOOKUP($A14,Stocks!$A$2:$Z$999,14,FALSE)</f>
        <v>36.98</v>
      </c>
      <c r="H14" s="43">
        <f>IF(G14+0&gt;0,(D14-G14)/G14,"")</f>
        <v>-0.061925365062195765</v>
      </c>
      <c r="I14" s="17">
        <f>VLOOKUP($A14,Stocks!$A$2:$Z$999,10,FALSE)</f>
        <v>1.32</v>
      </c>
      <c r="J14" s="18">
        <f>I14/D14</f>
        <v>0.03805131161718075</v>
      </c>
      <c r="K14" s="17">
        <v>0.33</v>
      </c>
      <c r="L14" s="17"/>
      <c r="M14" s="19">
        <f>K14/D14</f>
        <v>0.009512827904295187</v>
      </c>
      <c r="N14" s="16">
        <v>40137</v>
      </c>
      <c r="O14" s="17">
        <v>1.6</v>
      </c>
      <c r="P14" s="38">
        <v>36</v>
      </c>
      <c r="Q14" s="19">
        <f>(K14+O14)/D14</f>
        <v>0.05563562986451428</v>
      </c>
      <c r="R14" s="19">
        <f>IF(D14&gt;0,((MIN(D14,P14)-D14)+O14)/D14,"")</f>
        <v>0.04612280196021909</v>
      </c>
      <c r="S14" s="19">
        <f>IF(P14&gt;0,(P14-D14)/D14,"0")</f>
        <v>0.03776304410492944</v>
      </c>
      <c r="T14" s="19">
        <f>IF(D14&gt;0,(Q14+(P14-D14)/D14),"")</f>
        <v>0.09339867396944372</v>
      </c>
      <c r="U14" s="19"/>
      <c r="V14" s="20">
        <f>N14-B14</f>
        <v>147</v>
      </c>
      <c r="W14" s="19">
        <f>IF(D14&lt;P14,(((P14+K14+L14)*C14)/((D14-O14)*C14))^(365/V14)-1,(((P14+K14+L14+O14)*C14)/(D14*C14))^(365/V14)-1)</f>
        <v>0.26104804752775057</v>
      </c>
      <c r="X14" s="19">
        <f>IF(D14&lt;P14,((K14+L14+O14)/D14)*(365/V14),((O14+K14+L14)/D14)*365/V14)</f>
        <v>0.1381428904799164</v>
      </c>
      <c r="Y14" s="19">
        <f>IF(D14&lt;P14,((O14+L14)/D14)*(365/V14),((O14+L14)/D14)*365/V14)</f>
        <v>0.11452260350666645</v>
      </c>
      <c r="Z14" s="19">
        <f>IF(V14&gt;100,((P14)/D14)^(365/V14)-1,(P14-D14)/D14)</f>
        <v>0.0964068075280129</v>
      </c>
      <c r="AA14" s="19">
        <f>IF(P14&gt;D14,(P14-D14)/D14,0)</f>
        <v>0.03776304410492944</v>
      </c>
      <c r="AB14" s="36">
        <f>C14*(P14-D14+O14+L14+K14)</f>
        <v>324.0000000000002</v>
      </c>
      <c r="AC14" s="19">
        <f>(AB14)/(C14*D14)</f>
        <v>0.09339867396944371</v>
      </c>
      <c r="AD14" s="19">
        <f>W14/12</f>
        <v>0.02175400396064588</v>
      </c>
      <c r="AE14" s="19">
        <f>IF(J14&lt;0.01,AC14/(V14/30),AC14/(V14/30))</f>
        <v>0.01906095387131504</v>
      </c>
      <c r="AF14" s="19" t="str">
        <f>IF(AC14&lt;0.1,"low",IF(AE14&gt;0.025,"XCEL",IF(AE14&gt;0.0225,"VGD",IF(AE14&gt;0.02,"GOOD",IF(AE14&gt;0.0175,"OK",IF(AE14&gt;0.015,"MARG","BAD"))))))</f>
        <v>low</v>
      </c>
      <c r="AG14" s="19" t="str">
        <f>IF(J14&gt;0.02,UPPER(AF14),LOWER(AF14))</f>
        <v>LOW</v>
      </c>
      <c r="AH14" s="21">
        <f>C14*(O14+L14+K14)</f>
        <v>193.00000000000003</v>
      </c>
      <c r="AI14" s="24"/>
      <c r="AJ14" s="19"/>
      <c r="AK14" s="38">
        <f>IF(AJ14="Y",O14*C14,"")</f>
      </c>
      <c r="AM14" s="25"/>
      <c r="AN14" s="26"/>
    </row>
    <row r="15" spans="1:40" s="23" customFormat="1" ht="12.75">
      <c r="A15" s="42" t="s">
        <v>226</v>
      </c>
      <c r="B15" s="16">
        <f ca="1" t="shared" si="0"/>
        <v>39990</v>
      </c>
      <c r="C15" s="23">
        <v>100</v>
      </c>
      <c r="D15" s="17">
        <f>VLOOKUP($A15,Stocks!$A$2:$Z$999,7,FALSE)</f>
        <v>34.69</v>
      </c>
      <c r="E15" s="17">
        <f>VLOOKUP($A15,Stocks!$A$2:$Z$999,13,FALSE)</f>
        <v>36.36</v>
      </c>
      <c r="F15" s="19">
        <f>IF(AND(D15&gt;E15,E15+0&gt;0),(D15-E15)/E15,"")</f>
      </c>
      <c r="G15" s="17">
        <f>VLOOKUP($A15,Stocks!$A$2:$Z$999,14,FALSE)</f>
        <v>36.98</v>
      </c>
      <c r="H15" s="43">
        <f>IF(G15+0&gt;0,(D15-G15)/G15,"")</f>
        <v>-0.061925365062195765</v>
      </c>
      <c r="I15" s="17">
        <f>VLOOKUP($A15,Stocks!$A$2:$Z$999,10,FALSE)</f>
        <v>1.32</v>
      </c>
      <c r="J15" s="18">
        <f>I15/D15</f>
        <v>0.03805131161718075</v>
      </c>
      <c r="K15" s="17">
        <v>0.33</v>
      </c>
      <c r="L15" s="17"/>
      <c r="M15" s="19">
        <f>K15/D15</f>
        <v>0.009512827904295187</v>
      </c>
      <c r="N15" s="16">
        <v>40137</v>
      </c>
      <c r="O15" s="17">
        <v>1.02</v>
      </c>
      <c r="P15" s="38">
        <v>37.5</v>
      </c>
      <c r="Q15" s="19">
        <f>(K15+O15)/D15</f>
        <v>0.03891611415393486</v>
      </c>
      <c r="R15" s="19">
        <f>IF(D15&gt;0,((MIN(D15,P15)-D15)+O15)/D15,"")</f>
        <v>0.029403286249639667</v>
      </c>
      <c r="S15" s="19">
        <f>IF(P15&gt;0,(P15-D15)/D15,"0")</f>
        <v>0.08100317094263483</v>
      </c>
      <c r="T15" s="19">
        <f>IF(D15&gt;0,(Q15+(P15-D15)/D15),"")</f>
        <v>0.11991928509656968</v>
      </c>
      <c r="U15" s="19"/>
      <c r="V15" s="20">
        <f>N15-B15</f>
        <v>147</v>
      </c>
      <c r="W15" s="19">
        <f>IF(D15&lt;P15,(((P15+K15+L15)*C15)/((D15-O15)*C15))^(365/V15)-1,(((P15+K15+L15+O15)*C15)/(D15*C15))^(365/V15)-1)</f>
        <v>0.335434627719279</v>
      </c>
      <c r="X15" s="19">
        <f>IF(D15&lt;P15,((K15+L15+O15)/D15)*(365/V15),((O15+K15+L15)/D15)*365/V15)</f>
        <v>0.09662844670874982</v>
      </c>
      <c r="Y15" s="19">
        <f>IF(D15&lt;P15,((O15+L15)/D15)*(365/V15),((O15+L15)/D15)*365/V15)</f>
        <v>0.07300815973549984</v>
      </c>
      <c r="Z15" s="19">
        <f>IF(V15&gt;100,((P15)/D15)^(365/V15)-1,(P15-D15)/D15)</f>
        <v>0.21336686562466523</v>
      </c>
      <c r="AA15" s="19">
        <f>IF(P15&gt;D15,(P15-D15)/D15,0)</f>
        <v>0.08100317094263483</v>
      </c>
      <c r="AB15" s="36">
        <f>C15*(P15-D15+O15+L15+K15)</f>
        <v>416.00000000000017</v>
      </c>
      <c r="AC15" s="19">
        <f>(AB15)/(C15*D15)</f>
        <v>0.11991928509656967</v>
      </c>
      <c r="AD15" s="19">
        <f>W15/12</f>
        <v>0.02795288564327325</v>
      </c>
      <c r="AE15" s="19">
        <f>IF(J15&lt;0.01,AC15/(V15/30),AC15/(V15/30))</f>
        <v>0.02447332348909585</v>
      </c>
      <c r="AF15" s="19" t="str">
        <f>IF(AC15&lt;0.1,"low",IF(AE15&gt;0.025,"XCEL",IF(AE15&gt;0.0225,"VGD",IF(AE15&gt;0.02,"GOOD",IF(AE15&gt;0.0175,"OK",IF(AE15&gt;0.015,"MARG","BAD"))))))</f>
        <v>VGD</v>
      </c>
      <c r="AG15" s="19" t="str">
        <f>IF(J15&gt;0.02,UPPER(AF15),LOWER(AF15))</f>
        <v>VGD</v>
      </c>
      <c r="AH15" s="21">
        <f>C15*(O15+L15+K15)</f>
        <v>135</v>
      </c>
      <c r="AI15" s="24"/>
      <c r="AJ15" s="19"/>
      <c r="AK15" s="38">
        <f>IF(AJ15="Y",O15*C15,"")</f>
      </c>
      <c r="AM15" s="25"/>
      <c r="AN15" s="26"/>
    </row>
    <row r="16" spans="1:40" s="23" customFormat="1" ht="12.75">
      <c r="A16" s="42" t="s">
        <v>226</v>
      </c>
      <c r="B16" s="16">
        <f ca="1" t="shared" si="0"/>
        <v>39990</v>
      </c>
      <c r="C16" s="23">
        <v>100</v>
      </c>
      <c r="D16" s="17">
        <f>VLOOKUP($A16,Stocks!$A$2:$Z$999,7,FALSE)</f>
        <v>34.69</v>
      </c>
      <c r="E16" s="17">
        <f>VLOOKUP($A16,Stocks!$A$2:$Z$999,13,FALSE)</f>
        <v>36.36</v>
      </c>
      <c r="F16" s="19">
        <f>IF(AND(D16&gt;E16,E16+0&gt;0),(D16-E16)/E16,"")</f>
      </c>
      <c r="G16" s="17">
        <f>VLOOKUP($A16,Stocks!$A$2:$Z$999,14,FALSE)</f>
        <v>36.98</v>
      </c>
      <c r="H16" s="43">
        <f>IF(G16+0&gt;0,(D16-G16)/G16,"")</f>
        <v>-0.061925365062195765</v>
      </c>
      <c r="I16" s="17">
        <f>VLOOKUP($A16,Stocks!$A$2:$Z$999,10,FALSE)</f>
        <v>1.32</v>
      </c>
      <c r="J16" s="18">
        <f>I16/D16</f>
        <v>0.03805131161718075</v>
      </c>
      <c r="K16" s="17">
        <v>0.33</v>
      </c>
      <c r="L16" s="17"/>
      <c r="M16" s="19">
        <f>K16/D16</f>
        <v>0.009512827904295187</v>
      </c>
      <c r="N16" s="16">
        <v>40137</v>
      </c>
      <c r="O16" s="17">
        <v>0.6</v>
      </c>
      <c r="P16" s="38">
        <v>39</v>
      </c>
      <c r="Q16" s="19">
        <f>(K16+O16)/D16</f>
        <v>0.02680887863937734</v>
      </c>
      <c r="R16" s="19">
        <f>IF(D16&gt;0,((MIN(D16,P16)-D16)+O16)/D16,"")</f>
        <v>0.017296050735082155</v>
      </c>
      <c r="S16" s="19">
        <f>IF(P16&gt;0,(P16-D16)/D16,"0")</f>
        <v>0.12424329778034023</v>
      </c>
      <c r="T16" s="19">
        <f>IF(D16&gt;0,(Q16+(P16-D16)/D16),"")</f>
        <v>0.15105217641971758</v>
      </c>
      <c r="U16" s="19"/>
      <c r="V16" s="20">
        <f>N16-B16</f>
        <v>147</v>
      </c>
      <c r="W16" s="19">
        <f>IF(D16&lt;P16,(((P16+K16+L16)*C16)/((D16-O16)*C16))^(365/V16)-1,(((P16+K16+L16+O16)*C16)/(D16*C16))^(365/V16)-1)</f>
        <v>0.4262192451882596</v>
      </c>
      <c r="X16" s="19">
        <f>IF(D16&lt;P16,((K16+L16+O16)/D16)*(365/V16),((O16+K16+L16)/D16)*365/V16)</f>
        <v>0.06656626328824986</v>
      </c>
      <c r="Y16" s="19">
        <f>IF(D16&lt;P16,((O16+L16)/D16)*(365/V16),((O16+L16)/D16)*365/V16)</f>
        <v>0.042945976314999905</v>
      </c>
      <c r="Z16" s="19">
        <f>IF(V16&gt;100,((P16)/D16)^(365/V16)-1,(P16-D16)/D16)</f>
        <v>0.33747538122052534</v>
      </c>
      <c r="AA16" s="19">
        <f>IF(P16&gt;D16,(P16-D16)/D16,0)</f>
        <v>0.12424329778034023</v>
      </c>
      <c r="AB16" s="36">
        <f>C16*(P16-D16+O16+L16+K16)</f>
        <v>524.0000000000002</v>
      </c>
      <c r="AC16" s="19">
        <f>(AB16)/(C16*D16)</f>
        <v>0.15105217641971758</v>
      </c>
      <c r="AD16" s="19">
        <f>W16/12</f>
        <v>0.03551827043235497</v>
      </c>
      <c r="AE16" s="19">
        <f>IF(J16&lt;0.01,AC16/(V16/30),AC16/(V16/30))</f>
        <v>0.030826974779534198</v>
      </c>
      <c r="AF16" s="19" t="str">
        <f>IF(AC16&lt;0.1,"low",IF(AE16&gt;0.025,"XCEL",IF(AE16&gt;0.0225,"VGD",IF(AE16&gt;0.02,"GOOD",IF(AE16&gt;0.0175,"OK",IF(AE16&gt;0.015,"MARG","BAD"))))))</f>
        <v>XCEL</v>
      </c>
      <c r="AG16" s="19" t="str">
        <f>IF(J16&gt;0.02,UPPER(AF16),LOWER(AF16))</f>
        <v>XCEL</v>
      </c>
      <c r="AH16" s="21">
        <f>C16*(O16+L16+K16)</f>
        <v>93</v>
      </c>
      <c r="AI16" s="24"/>
      <c r="AJ16" s="19"/>
      <c r="AK16" s="38">
        <f>IF(AJ16="Y",O16*C16,"")</f>
      </c>
      <c r="AM16" s="25"/>
      <c r="AN16" s="26"/>
    </row>
    <row r="17" spans="1:40" s="23" customFormat="1" ht="12.75">
      <c r="A17" s="42" t="s">
        <v>181</v>
      </c>
      <c r="B17" s="16">
        <f ca="1" t="shared" si="0"/>
        <v>39990</v>
      </c>
      <c r="C17" s="23">
        <v>100</v>
      </c>
      <c r="D17" s="17">
        <f>VLOOKUP($A17,Stocks!$A$2:$Z$999,7,FALSE)</f>
        <v>48.13</v>
      </c>
      <c r="E17" s="17">
        <f>VLOOKUP($A17,Stocks!$A$2:$Z$999,13,FALSE)</f>
        <v>46.06</v>
      </c>
      <c r="F17" s="19">
        <f>IF(AND(D17&gt;E17,E17+0&gt;0),(D17-E17)/E17,"")</f>
        <v>0.04494138080764221</v>
      </c>
      <c r="G17" s="17">
        <f>VLOOKUP($A17,Stocks!$A$2:$Z$999,14,FALSE)</f>
        <v>45.19</v>
      </c>
      <c r="H17" s="43">
        <f>IF(G17+0&gt;0,(D17-G17)/G17,"")</f>
        <v>0.06505864129232142</v>
      </c>
      <c r="I17" s="17">
        <f>VLOOKUP($A17,Stocks!$A$2:$Z$999,10,FALSE)</f>
        <v>1.64</v>
      </c>
      <c r="J17" s="18">
        <f>I17/D17</f>
        <v>0.034074381882401826</v>
      </c>
      <c r="K17" s="17"/>
      <c r="L17" s="17"/>
      <c r="M17" s="19">
        <f>K17/D17</f>
        <v>0</v>
      </c>
      <c r="N17" s="16">
        <v>40047</v>
      </c>
      <c r="O17" s="17"/>
      <c r="P17" s="38">
        <v>45</v>
      </c>
      <c r="Q17" s="19">
        <f>(K17+O17)/D17</f>
        <v>0</v>
      </c>
      <c r="R17" s="19">
        <f>IF(D17&gt;0,((MIN(D17,P17)-D17)+O17)/D17,"")</f>
        <v>-0.06503220444629135</v>
      </c>
      <c r="S17" s="19">
        <f>IF(P17&gt;0,(P17-D17)/D17,"0")</f>
        <v>-0.06503220444629135</v>
      </c>
      <c r="T17" s="19">
        <f>IF(D17&gt;0,(Q17+(P17-D17)/D17),"")</f>
        <v>-0.06503220444629135</v>
      </c>
      <c r="U17" s="19"/>
      <c r="V17" s="20">
        <f>N17-B17</f>
        <v>57</v>
      </c>
      <c r="W17" s="19">
        <f>IF(D17&lt;P17,(((P17+K17+L17)*C17)/((D17-O17)*C17))^(365/V17)-1,(((P17+K17+L17+O17)*C17)/(D17*C17))^(365/V17)-1)</f>
        <v>-0.34987613955575203</v>
      </c>
      <c r="X17" s="19">
        <f>IF(D17&lt;P17,((K17+L17+O17)/D17)*(365/V17),((O17+K17+L17)/D17)*365/V17)</f>
        <v>0</v>
      </c>
      <c r="Y17" s="19">
        <f>IF(D17&lt;P17,((O17+L17)/D17)*(365/V17),((O17+L17)/D17)*365/V17)</f>
        <v>0</v>
      </c>
      <c r="Z17" s="19">
        <f>IF(V17&gt;100,((P17)/D17)^(365/V17)-1,(P17-D17)/D17)</f>
        <v>-0.06503220444629135</v>
      </c>
      <c r="AA17" s="19">
        <f>IF(P17&gt;D17,(P17-D17)/D17,0)</f>
        <v>0</v>
      </c>
      <c r="AB17" s="36">
        <f>C17*(P17-D17+O17+L17+K17)</f>
        <v>-313.0000000000002</v>
      </c>
      <c r="AC17" s="19">
        <f>(AB17)/(C17*D17)</f>
        <v>-0.06503220444629135</v>
      </c>
      <c r="AD17" s="19">
        <f>W17/12</f>
        <v>-0.029156344962979336</v>
      </c>
      <c r="AE17" s="19">
        <f>IF(J17&lt;0.01,AC17/(V17/30),AC17/(V17/30))</f>
        <v>-0.03422747602436387</v>
      </c>
      <c r="AF17" s="19" t="str">
        <f>IF(AC17&lt;0.1,"low",IF(AE17&gt;0.025,"XCEL",IF(AE17&gt;0.0225,"VGD",IF(AE17&gt;0.02,"GOOD",IF(AE17&gt;0.0175,"OK",IF(AE17&gt;0.015,"MARG","BAD"))))))</f>
        <v>low</v>
      </c>
      <c r="AG17" s="19" t="str">
        <f>IF(J17&gt;0.02,UPPER(AF17),LOWER(AF17))</f>
        <v>LOW</v>
      </c>
      <c r="AH17" s="21">
        <f>C17*(O17+L17+K17)</f>
        <v>0</v>
      </c>
      <c r="AI17" s="24"/>
      <c r="AJ17" s="19"/>
      <c r="AK17" s="38">
        <f>IF(AJ17="Y",O17*C17,"")</f>
      </c>
      <c r="AM17" s="25"/>
      <c r="AN17" s="26"/>
    </row>
    <row r="18" spans="1:40" s="23" customFormat="1" ht="12.75">
      <c r="A18" s="42" t="s">
        <v>181</v>
      </c>
      <c r="B18" s="16">
        <f ca="1" t="shared" si="0"/>
        <v>39990</v>
      </c>
      <c r="C18" s="23">
        <v>100</v>
      </c>
      <c r="D18" s="17">
        <f>VLOOKUP($A18,Stocks!$A$2:$Z$999,7,FALSE)</f>
        <v>48.13</v>
      </c>
      <c r="E18" s="17">
        <f>VLOOKUP($A18,Stocks!$A$2:$Z$999,13,FALSE)</f>
        <v>46.06</v>
      </c>
      <c r="F18" s="19">
        <f>IF(AND(D18&gt;E18,E18+0&gt;0),(D18-E18)/E18,"")</f>
        <v>0.04494138080764221</v>
      </c>
      <c r="G18" s="17">
        <f>VLOOKUP($A18,Stocks!$A$2:$Z$999,14,FALSE)</f>
        <v>45.19</v>
      </c>
      <c r="H18" s="43">
        <f>IF(G18+0&gt;0,(D18-G18)/G18,"")</f>
        <v>0.06505864129232142</v>
      </c>
      <c r="I18" s="17">
        <f>VLOOKUP($A18,Stocks!$A$2:$Z$999,10,FALSE)</f>
        <v>1.64</v>
      </c>
      <c r="J18" s="18">
        <f>I18/D18</f>
        <v>0.034074381882401826</v>
      </c>
      <c r="K18" s="17"/>
      <c r="L18" s="17"/>
      <c r="M18" s="19">
        <f>K18/D18</f>
        <v>0</v>
      </c>
      <c r="N18" s="16">
        <v>40047</v>
      </c>
      <c r="O18" s="17"/>
      <c r="P18" s="38">
        <v>47.5</v>
      </c>
      <c r="Q18" s="19">
        <f>(K18+O18)/D18</f>
        <v>0</v>
      </c>
      <c r="R18" s="19">
        <f>IF(D18&gt;0,((MIN(D18,P18)-D18)+O18)/D18,"")</f>
        <v>-0.013089549137751974</v>
      </c>
      <c r="S18" s="19">
        <f>IF(P18&gt;0,(P18-D18)/D18,"0")</f>
        <v>-0.013089549137751974</v>
      </c>
      <c r="T18" s="19">
        <f>IF(D18&gt;0,(Q18+(P18-D18)/D18),"")</f>
        <v>-0.013089549137751974</v>
      </c>
      <c r="U18" s="19"/>
      <c r="V18" s="20">
        <f>N18-B18</f>
        <v>57</v>
      </c>
      <c r="W18" s="19">
        <f>IF(D18&lt;P18,(((P18+K18+L18)*C18)/((D18-O18)*C18))^(365/V18)-1,(((P18+K18+L18+O18)*C18)/(D18*C18))^(365/V18)-1)</f>
        <v>-0.08091112602408312</v>
      </c>
      <c r="X18" s="19">
        <f>IF(D18&lt;P18,((K18+L18+O18)/D18)*(365/V18),((O18+K18+L18)/D18)*365/V18)</f>
        <v>0</v>
      </c>
      <c r="Y18" s="19">
        <f>IF(D18&lt;P18,((O18+L18)/D18)*(365/V18),((O18+L18)/D18)*365/V18)</f>
        <v>0</v>
      </c>
      <c r="Z18" s="19">
        <f>IF(V18&gt;100,((P18)/D18)^(365/V18)-1,(P18-D18)/D18)</f>
        <v>-0.013089549137751974</v>
      </c>
      <c r="AA18" s="19">
        <f>IF(P18&gt;D18,(P18-D18)/D18,0)</f>
        <v>0</v>
      </c>
      <c r="AB18" s="36">
        <f>C18*(P18-D18+O18+L18+K18)</f>
        <v>-63.000000000000256</v>
      </c>
      <c r="AC18" s="19">
        <f>(AB18)/(C18*D18)</f>
        <v>-0.013089549137751975</v>
      </c>
      <c r="AD18" s="19">
        <f>W18/12</f>
        <v>-0.00674259383534026</v>
      </c>
      <c r="AE18" s="19">
        <f>IF(J18&lt;0.01,AC18/(V18/30),AC18/(V18/30))</f>
        <v>-0.006889236388290513</v>
      </c>
      <c r="AF18" s="19" t="str">
        <f>IF(AC18&lt;0.1,"low",IF(AE18&gt;0.025,"XCEL",IF(AE18&gt;0.0225,"VGD",IF(AE18&gt;0.02,"GOOD",IF(AE18&gt;0.0175,"OK",IF(AE18&gt;0.015,"MARG","BAD"))))))</f>
        <v>low</v>
      </c>
      <c r="AG18" s="19" t="str">
        <f>IF(J18&gt;0.02,UPPER(AF18),LOWER(AF18))</f>
        <v>LOW</v>
      </c>
      <c r="AH18" s="21">
        <f>C18*(O18+L18+K18)</f>
        <v>0</v>
      </c>
      <c r="AI18" s="24"/>
      <c r="AJ18" s="19"/>
      <c r="AK18" s="38">
        <f>IF(AJ18="Y",O18*C18,"")</f>
      </c>
      <c r="AM18" s="25"/>
      <c r="AN18" s="26"/>
    </row>
    <row r="19" spans="1:40" s="23" customFormat="1" ht="12.75">
      <c r="A19" s="42" t="s">
        <v>181</v>
      </c>
      <c r="B19" s="16">
        <f ca="1" t="shared" si="0"/>
        <v>39990</v>
      </c>
      <c r="C19" s="23">
        <v>300</v>
      </c>
      <c r="D19" s="17">
        <f>VLOOKUP($A19,Stocks!$A$2:$Z$999,7,FALSE)</f>
        <v>48.13</v>
      </c>
      <c r="E19" s="17">
        <f>VLOOKUP($A19,Stocks!$A$2:$Z$999,13,FALSE)</f>
        <v>46.06</v>
      </c>
      <c r="F19" s="19">
        <f>IF(AND(D19&gt;E19,E19+0&gt;0),(D19-E19)/E19,"")</f>
        <v>0.04494138080764221</v>
      </c>
      <c r="G19" s="17">
        <f>VLOOKUP($A19,Stocks!$A$2:$Z$999,14,FALSE)</f>
        <v>45.19</v>
      </c>
      <c r="H19" s="43">
        <f>IF(G19+0&gt;0,(D19-G19)/G19,"")</f>
        <v>0.06505864129232142</v>
      </c>
      <c r="I19" s="17">
        <f>VLOOKUP($A19,Stocks!$A$2:$Z$999,10,FALSE)</f>
        <v>1.64</v>
      </c>
      <c r="J19" s="18">
        <f>I19/D19</f>
        <v>0.034074381882401826</v>
      </c>
      <c r="K19" s="17"/>
      <c r="L19" s="17"/>
      <c r="M19" s="19">
        <f>K19/D19</f>
        <v>0</v>
      </c>
      <c r="N19" s="16">
        <v>40047</v>
      </c>
      <c r="O19" s="17"/>
      <c r="P19" s="38">
        <v>50</v>
      </c>
      <c r="Q19" s="19">
        <f>(K19+O19)/D19</f>
        <v>0</v>
      </c>
      <c r="R19" s="19">
        <f>IF(D19&gt;0,((MIN(D19,P19)-D19)+O19)/D19,"")</f>
        <v>0</v>
      </c>
      <c r="S19" s="19">
        <f>IF(P19&gt;0,(P19-D19)/D19,"0")</f>
        <v>0.038853106170787396</v>
      </c>
      <c r="T19" s="19">
        <f>IF(D19&gt;0,(Q19+(P19-D19)/D19),"")</f>
        <v>0.038853106170787396</v>
      </c>
      <c r="U19" s="19"/>
      <c r="V19" s="20">
        <f>N19-B19</f>
        <v>57</v>
      </c>
      <c r="W19" s="19">
        <f>IF(D19&lt;P19,(((P19+K19+L19)*C19)/((D19-O19)*C19))^(365/V19)-1,(((P19+K19+L19+O19)*C19)/(D19*C19))^(365/V19)-1)</f>
        <v>0.276452322102114</v>
      </c>
      <c r="X19" s="19">
        <f>IF(D19&lt;P19,((K19+L19+O19)/D19)*(365/V19),((O19+K19+L19)/D19)*365/V19)</f>
        <v>0</v>
      </c>
      <c r="Y19" s="19">
        <f>IF(D19&lt;P19,((O19+L19)/D19)*(365/V19),((O19+L19)/D19)*365/V19)</f>
        <v>0</v>
      </c>
      <c r="Z19" s="19">
        <f>IF(V19&gt;100,((P19)/D19)^(365/V19)-1,(P19-D19)/D19)</f>
        <v>0.038853106170787396</v>
      </c>
      <c r="AA19" s="19">
        <f>IF(P19&gt;D19,(P19-D19)/D19,0)</f>
        <v>0.038853106170787396</v>
      </c>
      <c r="AB19" s="36">
        <f>C19*(P19-D19+O19+L19+K19)</f>
        <v>560.9999999999992</v>
      </c>
      <c r="AC19" s="19">
        <f>(AB19)/(C19*D19)</f>
        <v>0.038853106170787396</v>
      </c>
      <c r="AD19" s="19">
        <f>W19/12</f>
        <v>0.0230376935085095</v>
      </c>
      <c r="AE19" s="19">
        <f>IF(J19&lt;0.01,AC19/(V19/30),AC19/(V19/30))</f>
        <v>0.02044900324778284</v>
      </c>
      <c r="AF19" s="19" t="str">
        <f>IF(AC19&lt;0.1,"low",IF(AE19&gt;0.025,"XCEL",IF(AE19&gt;0.0225,"VGD",IF(AE19&gt;0.02,"GOOD",IF(AE19&gt;0.0175,"OK",IF(AE19&gt;0.015,"MARG","BAD"))))))</f>
        <v>low</v>
      </c>
      <c r="AG19" s="19" t="str">
        <f>IF(J19&gt;0.02,UPPER(AF19),LOWER(AF19))</f>
        <v>LOW</v>
      </c>
      <c r="AH19" s="21">
        <f>C19*(O19+L19+K19)</f>
        <v>0</v>
      </c>
      <c r="AI19" s="24"/>
      <c r="AJ19" s="19"/>
      <c r="AK19" s="38">
        <f>IF(AJ19="Y",O19*C19,"")</f>
      </c>
      <c r="AM19" s="25"/>
      <c r="AN19" s="26"/>
    </row>
    <row r="20" spans="1:40" s="23" customFormat="1" ht="12.75">
      <c r="A20" s="42" t="s">
        <v>181</v>
      </c>
      <c r="B20" s="16">
        <f ca="1" t="shared" si="0"/>
        <v>39990</v>
      </c>
      <c r="C20" s="23">
        <v>100</v>
      </c>
      <c r="D20" s="17">
        <f>VLOOKUP($A20,Stocks!$A$2:$Z$999,7,FALSE)</f>
        <v>48.13</v>
      </c>
      <c r="E20" s="17">
        <f>VLOOKUP($A20,Stocks!$A$2:$Z$999,13,FALSE)</f>
        <v>46.06</v>
      </c>
      <c r="F20" s="19">
        <f>IF(AND(D20&gt;E20,E20+0&gt;0),(D20-E20)/E20,"")</f>
        <v>0.04494138080764221</v>
      </c>
      <c r="G20" s="17">
        <f>VLOOKUP($A20,Stocks!$A$2:$Z$999,14,FALSE)</f>
        <v>45.19</v>
      </c>
      <c r="H20" s="43">
        <f>IF(G20+0&gt;0,(D20-G20)/G20,"")</f>
        <v>0.06505864129232142</v>
      </c>
      <c r="I20" s="17">
        <f>VLOOKUP($A20,Stocks!$A$2:$Z$999,10,FALSE)</f>
        <v>1.64</v>
      </c>
      <c r="J20" s="18">
        <f>I20/D20</f>
        <v>0.034074381882401826</v>
      </c>
      <c r="K20" s="17"/>
      <c r="L20" s="17"/>
      <c r="M20" s="19">
        <f>K20/D20</f>
        <v>0</v>
      </c>
      <c r="N20" s="16">
        <v>40198</v>
      </c>
      <c r="O20" s="17"/>
      <c r="P20" s="38">
        <v>40</v>
      </c>
      <c r="Q20" s="19">
        <f>(K20+O20)/D20</f>
        <v>0</v>
      </c>
      <c r="R20" s="19">
        <f>IF(D20&gt;0,((MIN(D20,P20)-D20)+O20)/D20,"")</f>
        <v>-0.16891751506337008</v>
      </c>
      <c r="S20" s="19">
        <f>IF(P20&gt;0,(P20-D20)/D20,"0")</f>
        <v>-0.16891751506337008</v>
      </c>
      <c r="T20" s="19">
        <f>IF(D20&gt;0,(Q20+(P20-D20)/D20),"")</f>
        <v>-0.16891751506337008</v>
      </c>
      <c r="U20" s="19"/>
      <c r="V20" s="20">
        <f>N20-B20</f>
        <v>208</v>
      </c>
      <c r="W20" s="19">
        <f>IF(D20&lt;P20,(((P20+K20+L20)*C20)/((D20-O20)*C20))^(365/V20)-1,(((P20+K20+L20+O20)*C20)/(D20*C20))^(365/V20)-1)</f>
        <v>-0.2772453398339577</v>
      </c>
      <c r="X20" s="19">
        <f>IF(D20&lt;P20,((K20+L20+O20)/D20)*(365/V20),((O20+K20+L20)/D20)*365/V20)</f>
        <v>0</v>
      </c>
      <c r="Y20" s="19">
        <f>IF(D20&lt;P20,((O20+L20)/D20)*(365/V20),((O20+L20)/D20)*365/V20)</f>
        <v>0</v>
      </c>
      <c r="Z20" s="19">
        <f>IF(V20&gt;100,((P20)/D20)^(365/V20)-1,(P20-D20)/D20)</f>
        <v>-0.2772453398339577</v>
      </c>
      <c r="AA20" s="19">
        <f>IF(P20&gt;D20,(P20-D20)/D20,0)</f>
        <v>0</v>
      </c>
      <c r="AB20" s="36">
        <f>C20*(P20-D20+O20+L20+K20)</f>
        <v>-813.0000000000002</v>
      </c>
      <c r="AC20" s="19">
        <f>(AB20)/(C20*D20)</f>
        <v>-0.16891751506337008</v>
      </c>
      <c r="AD20" s="19">
        <f>W20/12</f>
        <v>-0.023103778319496476</v>
      </c>
      <c r="AE20" s="19">
        <f>IF(J20&lt;0.01,AC20/(V20/30),AC20/(V20/30))</f>
        <v>-0.024363103134139915</v>
      </c>
      <c r="AF20" s="19" t="str">
        <f>IF(AC20&lt;0.1,"low",IF(AE20&gt;0.025,"XCEL",IF(AE20&gt;0.0225,"VGD",IF(AE20&gt;0.02,"GOOD",IF(AE20&gt;0.0175,"OK",IF(AE20&gt;0.015,"MARG","BAD"))))))</f>
        <v>low</v>
      </c>
      <c r="AG20" s="19" t="str">
        <f>IF(J20&gt;0.02,UPPER(AF20),LOWER(AF20))</f>
        <v>LOW</v>
      </c>
      <c r="AH20" s="21">
        <f>C20*(O20+L20+K20)</f>
        <v>0</v>
      </c>
      <c r="AI20" s="24"/>
      <c r="AJ20" s="19"/>
      <c r="AK20" s="38">
        <f>IF(AJ20="Y",O20*C20,"")</f>
      </c>
      <c r="AM20" s="25"/>
      <c r="AN20" s="26"/>
    </row>
    <row r="21" spans="1:40" s="23" customFormat="1" ht="12.75">
      <c r="A21" s="42" t="s">
        <v>181</v>
      </c>
      <c r="B21" s="16">
        <f ca="1" t="shared" si="0"/>
        <v>39990</v>
      </c>
      <c r="C21" s="23">
        <v>100</v>
      </c>
      <c r="D21" s="17">
        <f>VLOOKUP($A21,Stocks!$A$2:$Z$999,7,FALSE)</f>
        <v>48.13</v>
      </c>
      <c r="E21" s="17">
        <f>VLOOKUP($A21,Stocks!$A$2:$Z$999,13,FALSE)</f>
        <v>46.06</v>
      </c>
      <c r="F21" s="19">
        <f>IF(AND(D21&gt;E21,E21+0&gt;0),(D21-E21)/E21,"")</f>
        <v>0.04494138080764221</v>
      </c>
      <c r="G21" s="17">
        <f>VLOOKUP($A21,Stocks!$A$2:$Z$999,14,FALSE)</f>
        <v>45.19</v>
      </c>
      <c r="H21" s="43">
        <f>IF(G21+0&gt;0,(D21-G21)/G21,"")</f>
        <v>0.06505864129232142</v>
      </c>
      <c r="I21" s="17">
        <f>VLOOKUP($A21,Stocks!$A$2:$Z$999,10,FALSE)</f>
        <v>1.64</v>
      </c>
      <c r="J21" s="18">
        <f>I21/D21</f>
        <v>0.034074381882401826</v>
      </c>
      <c r="K21" s="17"/>
      <c r="L21" s="17"/>
      <c r="M21" s="19">
        <f>K21/D21</f>
        <v>0</v>
      </c>
      <c r="N21" s="16">
        <v>40198</v>
      </c>
      <c r="O21" s="17"/>
      <c r="P21" s="38">
        <v>45</v>
      </c>
      <c r="Q21" s="19">
        <f>(K21+O21)/D21</f>
        <v>0</v>
      </c>
      <c r="R21" s="19">
        <f>IF(D21&gt;0,((MIN(D21,P21)-D21)+O21)/D21,"")</f>
        <v>-0.06503220444629135</v>
      </c>
      <c r="S21" s="19">
        <f>IF(P21&gt;0,(P21-D21)/D21,"0")</f>
        <v>-0.06503220444629135</v>
      </c>
      <c r="T21" s="19">
        <f>IF(D21&gt;0,(Q21+(P21-D21)/D21),"")</f>
        <v>-0.06503220444629135</v>
      </c>
      <c r="U21" s="19"/>
      <c r="V21" s="20">
        <f>N21-B21</f>
        <v>208</v>
      </c>
      <c r="W21" s="19">
        <f>IF(D21&lt;P21,(((P21+K21+L21)*C21)/((D21-O21)*C21))^(365/V21)-1,(((P21+K21+L21+O21)*C21)/(D21*C21))^(365/V21)-1)</f>
        <v>-0.11130294607993085</v>
      </c>
      <c r="X21" s="19">
        <f>IF(D21&lt;P21,((K21+L21+O21)/D21)*(365/V21),((O21+K21+L21)/D21)*365/V21)</f>
        <v>0</v>
      </c>
      <c r="Y21" s="19">
        <f>IF(D21&lt;P21,((O21+L21)/D21)*(365/V21),((O21+L21)/D21)*365/V21)</f>
        <v>0</v>
      </c>
      <c r="Z21" s="19">
        <f>IF(V21&gt;100,((P21)/D21)^(365/V21)-1,(P21-D21)/D21)</f>
        <v>-0.11130294607993085</v>
      </c>
      <c r="AA21" s="19">
        <f>IF(P21&gt;D21,(P21-D21)/D21,0)</f>
        <v>0</v>
      </c>
      <c r="AB21" s="36">
        <f>C21*(P21-D21+O21+L21+K21)</f>
        <v>-313.0000000000002</v>
      </c>
      <c r="AC21" s="19">
        <f>(AB21)/(C21*D21)</f>
        <v>-0.06503220444629135</v>
      </c>
      <c r="AD21" s="19">
        <f>W21/12</f>
        <v>-0.009275245506660904</v>
      </c>
      <c r="AE21" s="19">
        <f>IF(J21&lt;0.01,AC21/(V21/30),AC21/(V21/30))</f>
        <v>-0.009379644872061253</v>
      </c>
      <c r="AF21" s="19" t="str">
        <f>IF(AC21&lt;0.1,"low",IF(AE21&gt;0.025,"XCEL",IF(AE21&gt;0.0225,"VGD",IF(AE21&gt;0.02,"GOOD",IF(AE21&gt;0.0175,"OK",IF(AE21&gt;0.015,"MARG","BAD"))))))</f>
        <v>low</v>
      </c>
      <c r="AG21" s="19" t="str">
        <f>IF(J21&gt;0.02,UPPER(AF21),LOWER(AF21))</f>
        <v>LOW</v>
      </c>
      <c r="AH21" s="21">
        <f>C21*(O21+L21+K21)</f>
        <v>0</v>
      </c>
      <c r="AI21" s="24"/>
      <c r="AJ21" s="19"/>
      <c r="AK21" s="38">
        <f>IF(AJ21="Y",O21*C21,"")</f>
      </c>
      <c r="AM21" s="25"/>
      <c r="AN21" s="26"/>
    </row>
    <row r="22" spans="1:40" s="23" customFormat="1" ht="12.75">
      <c r="A22" s="42" t="s">
        <v>181</v>
      </c>
      <c r="B22" s="16">
        <f ca="1" t="shared" si="0"/>
        <v>39990</v>
      </c>
      <c r="C22" s="23">
        <v>100</v>
      </c>
      <c r="D22" s="17">
        <f>VLOOKUP($A22,Stocks!$A$2:$Z$999,7,FALSE)</f>
        <v>48.13</v>
      </c>
      <c r="E22" s="17">
        <f>VLOOKUP($A22,Stocks!$A$2:$Z$999,13,FALSE)</f>
        <v>46.06</v>
      </c>
      <c r="F22" s="19">
        <f>IF(AND(D22&gt;E22,E22+0&gt;0),(D22-E22)/E22,"")</f>
        <v>0.04494138080764221</v>
      </c>
      <c r="G22" s="17">
        <f>VLOOKUP($A22,Stocks!$A$2:$Z$999,14,FALSE)</f>
        <v>45.19</v>
      </c>
      <c r="H22" s="43">
        <f>IF(G22+0&gt;0,(D22-G22)/G22,"")</f>
        <v>0.06505864129232142</v>
      </c>
      <c r="I22" s="17">
        <f>VLOOKUP($A22,Stocks!$A$2:$Z$999,10,FALSE)</f>
        <v>1.64</v>
      </c>
      <c r="J22" s="18">
        <f>I22/D22</f>
        <v>0.034074381882401826</v>
      </c>
      <c r="K22" s="17"/>
      <c r="L22" s="17"/>
      <c r="M22" s="19">
        <f>K22/D22</f>
        <v>0</v>
      </c>
      <c r="N22" s="16">
        <v>40198</v>
      </c>
      <c r="O22" s="17"/>
      <c r="P22" s="38">
        <v>50</v>
      </c>
      <c r="Q22" s="19">
        <f>(K22+O22)/D22</f>
        <v>0</v>
      </c>
      <c r="R22" s="19">
        <f>IF(D22&gt;0,((MIN(D22,P22)-D22)+O22)/D22,"")</f>
        <v>0</v>
      </c>
      <c r="S22" s="19">
        <f>IF(P22&gt;0,(P22-D22)/D22,"0")</f>
        <v>0.038853106170787396</v>
      </c>
      <c r="T22" s="19">
        <f>IF(D22&gt;0,(Q22+(P22-D22)/D22),"")</f>
        <v>0.038853106170787396</v>
      </c>
      <c r="U22" s="19"/>
      <c r="V22" s="20">
        <f>N22-B22</f>
        <v>208</v>
      </c>
      <c r="W22" s="19">
        <f>IF(D22&lt;P22,(((P22+K22+L22)*C22)/((D22-O22)*C22))^(365/V22)-1,(((P22+K22+L22+O22)*C22)/(D22*C22))^(365/V22)-1)</f>
        <v>0.06917633327579442</v>
      </c>
      <c r="X22" s="19">
        <f>IF(D22&lt;P22,((K22+L22+O22)/D22)*(365/V22),((O22+K22+L22)/D22)*365/V22)</f>
        <v>0</v>
      </c>
      <c r="Y22" s="19">
        <f>IF(D22&lt;P22,((O22+L22)/D22)*(365/V22),((O22+L22)/D22)*365/V22)</f>
        <v>0</v>
      </c>
      <c r="Z22" s="19">
        <f>IF(V22&gt;100,((P22)/D22)^(365/V22)-1,(P22-D22)/D22)</f>
        <v>0.0691763332757942</v>
      </c>
      <c r="AA22" s="19">
        <f>IF(P22&gt;D22,(P22-D22)/D22,0)</f>
        <v>0.038853106170787396</v>
      </c>
      <c r="AB22" s="36">
        <f>C22*(P22-D22+O22+L22+K22)</f>
        <v>186.99999999999974</v>
      </c>
      <c r="AC22" s="19">
        <f>(AB22)/(C22*D22)</f>
        <v>0.038853106170787396</v>
      </c>
      <c r="AD22" s="19">
        <f>W22/12</f>
        <v>0.005764694439649535</v>
      </c>
      <c r="AE22" s="19">
        <f>IF(J22&lt;0.01,AC22/(V22/30),AC22/(V22/30))</f>
        <v>0.0056038133900174125</v>
      </c>
      <c r="AF22" s="19" t="str">
        <f>IF(AC22&lt;0.1,"low",IF(AE22&gt;0.025,"XCEL",IF(AE22&gt;0.0225,"VGD",IF(AE22&gt;0.02,"GOOD",IF(AE22&gt;0.0175,"OK",IF(AE22&gt;0.015,"MARG","BAD"))))))</f>
        <v>low</v>
      </c>
      <c r="AG22" s="19" t="str">
        <f>IF(J22&gt;0.02,UPPER(AF22),LOWER(AF22))</f>
        <v>LOW</v>
      </c>
      <c r="AH22" s="21">
        <f>C22*(O22+L22+K22)</f>
        <v>0</v>
      </c>
      <c r="AI22" s="24"/>
      <c r="AJ22" s="19"/>
      <c r="AK22" s="38">
        <f>IF(AJ22="Y",O22*C22,"")</f>
      </c>
      <c r="AM22" s="25"/>
      <c r="AN22" s="26"/>
    </row>
    <row r="23" spans="1:40" s="23" customFormat="1" ht="12.75">
      <c r="A23" s="42" t="s">
        <v>181</v>
      </c>
      <c r="B23" s="16">
        <f ca="1" t="shared" si="0"/>
        <v>39990</v>
      </c>
      <c r="C23" s="23">
        <v>100</v>
      </c>
      <c r="D23" s="17">
        <f>VLOOKUP($A23,Stocks!$A$2:$Z$999,7,FALSE)</f>
        <v>48.13</v>
      </c>
      <c r="E23" s="17">
        <f>VLOOKUP($A23,Stocks!$A$2:$Z$999,13,FALSE)</f>
        <v>46.06</v>
      </c>
      <c r="F23" s="19">
        <f>IF(AND(D23&gt;E23,E23+0&gt;0),(D23-E23)/E23,"")</f>
        <v>0.04494138080764221</v>
      </c>
      <c r="G23" s="17">
        <f>VLOOKUP($A23,Stocks!$A$2:$Z$999,14,FALSE)</f>
        <v>45.19</v>
      </c>
      <c r="H23" s="43">
        <f>IF(G23+0&gt;0,(D23-G23)/G23,"")</f>
        <v>0.06505864129232142</v>
      </c>
      <c r="I23" s="17">
        <f>VLOOKUP($A23,Stocks!$A$2:$Z$999,10,FALSE)</f>
        <v>1.64</v>
      </c>
      <c r="J23" s="18">
        <f>I23/D23</f>
        <v>0.034074381882401826</v>
      </c>
      <c r="K23" s="17"/>
      <c r="L23" s="17"/>
      <c r="M23" s="19">
        <f>K23/D23</f>
        <v>0</v>
      </c>
      <c r="N23" s="16">
        <v>40198</v>
      </c>
      <c r="O23" s="17"/>
      <c r="P23" s="38">
        <v>52.5</v>
      </c>
      <c r="Q23" s="19">
        <f>(K23+O23)/D23</f>
        <v>0</v>
      </c>
      <c r="R23" s="19">
        <f>IF(D23&gt;0,((MIN(D23,P23)-D23)+O23)/D23,"")</f>
        <v>0</v>
      </c>
      <c r="S23" s="19">
        <f>IF(P23&gt;0,(P23-D23)/D23,"0")</f>
        <v>0.09079576147932676</v>
      </c>
      <c r="T23" s="19">
        <f>IF(D23&gt;0,(Q23+(P23-D23)/D23),"")</f>
        <v>0.09079576147932676</v>
      </c>
      <c r="U23" s="19"/>
      <c r="V23" s="20">
        <f>N23-B23</f>
        <v>208</v>
      </c>
      <c r="W23" s="19">
        <f>IF(D23&lt;P23,(((P23+K23+L23)*C23)/((D23-O23)*C23))^(365/V23)-1,(((P23+K23+L23+O23)*C23)/(D23*C23))^(365/V23)-1)</f>
        <v>0.16474936373567695</v>
      </c>
      <c r="X23" s="19">
        <f>IF(D23&lt;P23,((K23+L23+O23)/D23)*(365/V23),((O23+K23+L23)/D23)*365/V23)</f>
        <v>0</v>
      </c>
      <c r="Y23" s="19">
        <f>IF(D23&lt;P23,((O23+L23)/D23)*(365/V23),((O23+L23)/D23)*365/V23)</f>
        <v>0</v>
      </c>
      <c r="Z23" s="19">
        <f>IF(V23&gt;100,((P23)/D23)^(365/V23)-1,(P23-D23)/D23)</f>
        <v>0.1647493637356765</v>
      </c>
      <c r="AA23" s="19">
        <f>IF(P23&gt;D23,(P23-D23)/D23,0)</f>
        <v>0.09079576147932676</v>
      </c>
      <c r="AB23" s="36">
        <f>C23*(P23-D23+O23+L23+K23)</f>
        <v>436.9999999999998</v>
      </c>
      <c r="AC23" s="19">
        <f>(AB23)/(C23*D23)</f>
        <v>0.09079576147932678</v>
      </c>
      <c r="AD23" s="19">
        <f>W23/12</f>
        <v>0.013729113644639745</v>
      </c>
      <c r="AE23" s="19">
        <f>IF(J23&lt;0.01,AC23/(V23/30),AC23/(V23/30))</f>
        <v>0.013095542521056746</v>
      </c>
      <c r="AF23" s="19" t="str">
        <f>IF(AC23&lt;0.1,"low",IF(AE23&gt;0.025,"XCEL",IF(AE23&gt;0.0225,"VGD",IF(AE23&gt;0.02,"GOOD",IF(AE23&gt;0.0175,"OK",IF(AE23&gt;0.015,"MARG","BAD"))))))</f>
        <v>low</v>
      </c>
      <c r="AG23" s="19" t="str">
        <f>IF(J23&gt;0.02,UPPER(AF23),LOWER(AF23))</f>
        <v>LOW</v>
      </c>
      <c r="AH23" s="21">
        <f>C23*(O23+L23+K23)</f>
        <v>0</v>
      </c>
      <c r="AI23" s="24"/>
      <c r="AJ23" s="19"/>
      <c r="AK23" s="38">
        <f>IF(AJ23="Y",O23*C23,"")</f>
      </c>
      <c r="AM23" s="25"/>
      <c r="AN23" s="26"/>
    </row>
    <row r="24" spans="1:40" s="23" customFormat="1" ht="12.75">
      <c r="A24" s="42"/>
      <c r="B24" s="16"/>
      <c r="D24" s="17"/>
      <c r="E24" s="17"/>
      <c r="F24" s="19"/>
      <c r="G24" s="17"/>
      <c r="H24" s="43"/>
      <c r="I24" s="17"/>
      <c r="J24" s="18"/>
      <c r="K24" s="17"/>
      <c r="L24" s="17"/>
      <c r="M24" s="19"/>
      <c r="N24" s="16"/>
      <c r="O24" s="17"/>
      <c r="P24" s="38"/>
      <c r="Q24" s="19"/>
      <c r="R24" s="19"/>
      <c r="S24" s="19"/>
      <c r="T24" s="19"/>
      <c r="U24" s="19"/>
      <c r="V24" s="20"/>
      <c r="W24" s="19"/>
      <c r="X24" s="19"/>
      <c r="Y24" s="19"/>
      <c r="Z24" s="19"/>
      <c r="AA24" s="19"/>
      <c r="AB24" s="36"/>
      <c r="AC24" s="19"/>
      <c r="AD24" s="19"/>
      <c r="AE24" s="19"/>
      <c r="AF24" s="19"/>
      <c r="AG24" s="19"/>
      <c r="AH24" s="21"/>
      <c r="AI24" s="24"/>
      <c r="AJ24" s="19"/>
      <c r="AK24" s="38"/>
      <c r="AM24" s="25"/>
      <c r="AN24" s="26"/>
    </row>
    <row r="25" spans="1:40" s="23" customFormat="1" ht="12.75">
      <c r="A25" s="42"/>
      <c r="B25" s="16"/>
      <c r="D25" s="17"/>
      <c r="E25" s="17"/>
      <c r="F25" s="19"/>
      <c r="G25" s="17"/>
      <c r="H25" s="43"/>
      <c r="I25" s="17"/>
      <c r="J25" s="18"/>
      <c r="K25" s="17"/>
      <c r="L25" s="17"/>
      <c r="M25" s="19"/>
      <c r="N25" s="16"/>
      <c r="O25" s="17"/>
      <c r="P25" s="38"/>
      <c r="Q25" s="19"/>
      <c r="R25" s="19"/>
      <c r="S25" s="19"/>
      <c r="T25" s="19"/>
      <c r="U25" s="19"/>
      <c r="V25" s="20"/>
      <c r="W25" s="19"/>
      <c r="X25" s="19"/>
      <c r="Y25" s="19"/>
      <c r="Z25" s="19"/>
      <c r="AA25" s="19"/>
      <c r="AB25" s="36"/>
      <c r="AC25" s="19"/>
      <c r="AD25" s="19"/>
      <c r="AE25" s="19"/>
      <c r="AF25" s="19"/>
      <c r="AG25" s="19"/>
      <c r="AH25" s="21"/>
      <c r="AI25" s="24"/>
      <c r="AJ25" s="19"/>
      <c r="AK25" s="38"/>
      <c r="AM25" s="25"/>
      <c r="AN25" s="26"/>
    </row>
    <row r="26" spans="2:40" s="23" customFormat="1" ht="12.75">
      <c r="B26" s="16"/>
      <c r="D26" s="17"/>
      <c r="E26" s="17"/>
      <c r="F26" s="19"/>
      <c r="G26" s="17"/>
      <c r="H26" s="43"/>
      <c r="I26" s="17"/>
      <c r="J26" s="18"/>
      <c r="K26" s="17"/>
      <c r="L26" s="17"/>
      <c r="M26" s="19"/>
      <c r="N26" s="16"/>
      <c r="O26" s="17"/>
      <c r="P26" s="38"/>
      <c r="Q26" s="19"/>
      <c r="R26" s="19"/>
      <c r="S26" s="19"/>
      <c r="T26" s="19"/>
      <c r="U26" s="19"/>
      <c r="V26" s="20"/>
      <c r="W26" s="19"/>
      <c r="X26" s="19"/>
      <c r="Y26" s="19"/>
      <c r="Z26" s="19"/>
      <c r="AA26" s="19"/>
      <c r="AB26" s="36"/>
      <c r="AC26" s="19"/>
      <c r="AD26" s="19"/>
      <c r="AE26" s="19"/>
      <c r="AF26" s="19"/>
      <c r="AG26" s="19"/>
      <c r="AH26" s="21"/>
      <c r="AI26" s="24"/>
      <c r="AJ26" s="19"/>
      <c r="AK26" s="38"/>
      <c r="AM26" s="25"/>
      <c r="AN26" s="26"/>
    </row>
    <row r="27" spans="2:40" s="23" customFormat="1" ht="12.75">
      <c r="B27" s="16"/>
      <c r="D27" s="17"/>
      <c r="E27" s="17"/>
      <c r="F27" s="19"/>
      <c r="G27" s="17"/>
      <c r="H27" s="43"/>
      <c r="I27" s="17"/>
      <c r="J27" s="18"/>
      <c r="K27" s="17"/>
      <c r="L27" s="17"/>
      <c r="M27" s="19"/>
      <c r="N27" s="16"/>
      <c r="O27" s="17"/>
      <c r="P27" s="38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36"/>
      <c r="AC27" s="19"/>
      <c r="AD27" s="19"/>
      <c r="AE27" s="19"/>
      <c r="AF27" s="19"/>
      <c r="AG27" s="19"/>
      <c r="AH27" s="21"/>
      <c r="AI27" s="24"/>
      <c r="AJ27" s="19"/>
      <c r="AK27" s="38"/>
      <c r="AM27" s="25"/>
      <c r="AN27" s="26"/>
    </row>
    <row r="28" spans="2:40" s="23" customFormat="1" ht="12.75">
      <c r="B28" s="16"/>
      <c r="D28" s="17"/>
      <c r="E28" s="17"/>
      <c r="F28" s="19"/>
      <c r="G28" s="17"/>
      <c r="H28" s="43"/>
      <c r="I28" s="17"/>
      <c r="J28" s="18"/>
      <c r="K28" s="17"/>
      <c r="L28" s="17"/>
      <c r="M28" s="19"/>
      <c r="N28" s="16"/>
      <c r="O28" s="17"/>
      <c r="P28" s="38"/>
      <c r="Q28" s="19"/>
      <c r="R28" s="19"/>
      <c r="S28" s="19"/>
      <c r="T28" s="19"/>
      <c r="U28" s="19"/>
      <c r="V28" s="20"/>
      <c r="W28" s="19"/>
      <c r="X28" s="19"/>
      <c r="Y28" s="19"/>
      <c r="Z28" s="19"/>
      <c r="AA28" s="19"/>
      <c r="AB28" s="36"/>
      <c r="AC28" s="19"/>
      <c r="AD28" s="19"/>
      <c r="AE28" s="19"/>
      <c r="AF28" s="19"/>
      <c r="AG28" s="19"/>
      <c r="AH28" s="21"/>
      <c r="AI28" s="24"/>
      <c r="AJ28" s="19"/>
      <c r="AK28" s="38"/>
      <c r="AM28" s="25"/>
      <c r="AN28" s="26"/>
    </row>
    <row r="29" spans="4:40" s="23" customFormat="1" ht="12.75">
      <c r="D29" s="17"/>
      <c r="E29" s="17"/>
      <c r="F29" s="17"/>
      <c r="G29" s="17"/>
      <c r="H29" s="17"/>
      <c r="I29" s="17"/>
      <c r="J29" s="18"/>
      <c r="K29" s="17"/>
      <c r="L29" s="17"/>
      <c r="M29" s="19"/>
      <c r="N29" s="16"/>
      <c r="O29" s="17"/>
      <c r="P29" s="38"/>
      <c r="Q29" s="19"/>
      <c r="R29" s="19"/>
      <c r="S29" s="19"/>
      <c r="T29" s="19"/>
      <c r="U29" s="19"/>
      <c r="V29" s="20"/>
      <c r="W29" s="19"/>
      <c r="X29" s="19"/>
      <c r="Y29" s="19"/>
      <c r="Z29" s="19"/>
      <c r="AA29" s="19"/>
      <c r="AB29" s="36"/>
      <c r="AC29" s="19"/>
      <c r="AD29" s="19"/>
      <c r="AE29" s="19"/>
      <c r="AF29" s="21"/>
      <c r="AG29" s="21"/>
      <c r="AH29" s="21"/>
      <c r="AI29" s="24"/>
      <c r="AJ29" s="19"/>
      <c r="AK29" s="18"/>
      <c r="AM29" s="25"/>
      <c r="AN29" s="26"/>
    </row>
    <row r="30" spans="2:40" s="23" customFormat="1" ht="12.75">
      <c r="B30" s="16"/>
      <c r="D30" s="17"/>
      <c r="E30" s="17"/>
      <c r="F30" s="19"/>
      <c r="G30" s="17"/>
      <c r="H30" s="43"/>
      <c r="I30" s="17"/>
      <c r="J30" s="18"/>
      <c r="K30" s="17"/>
      <c r="L30" s="17"/>
      <c r="M30" s="19"/>
      <c r="N30" s="16"/>
      <c r="O30" s="17"/>
      <c r="P30" s="38"/>
      <c r="Q30" s="19"/>
      <c r="R30" s="19"/>
      <c r="S30" s="19"/>
      <c r="T30" s="19"/>
      <c r="U30" s="19"/>
      <c r="V30" s="20"/>
      <c r="W30" s="19"/>
      <c r="X30" s="19"/>
      <c r="Y30" s="19"/>
      <c r="Z30" s="19"/>
      <c r="AA30" s="19"/>
      <c r="AB30" s="36"/>
      <c r="AC30" s="19"/>
      <c r="AD30" s="19"/>
      <c r="AE30" s="19"/>
      <c r="AF30" s="19"/>
      <c r="AG30" s="19"/>
      <c r="AH30" s="21"/>
      <c r="AI30" s="24"/>
      <c r="AJ30" s="19"/>
      <c r="AK30" s="38"/>
      <c r="AM30" s="25"/>
      <c r="AN30" s="26"/>
    </row>
    <row r="31" spans="2:40" s="23" customFormat="1" ht="12.75">
      <c r="B31" s="16"/>
      <c r="D31" s="17"/>
      <c r="E31" s="17"/>
      <c r="F31" s="19"/>
      <c r="G31" s="17"/>
      <c r="H31" s="43"/>
      <c r="I31" s="17"/>
      <c r="J31" s="18"/>
      <c r="K31" s="17"/>
      <c r="L31" s="17"/>
      <c r="M31" s="19"/>
      <c r="N31" s="16"/>
      <c r="O31" s="17"/>
      <c r="P31" s="38"/>
      <c r="Q31" s="19"/>
      <c r="R31" s="19"/>
      <c r="S31" s="19"/>
      <c r="T31" s="19"/>
      <c r="U31" s="19"/>
      <c r="V31" s="20"/>
      <c r="W31" s="19"/>
      <c r="X31" s="19"/>
      <c r="Y31" s="19"/>
      <c r="Z31" s="19"/>
      <c r="AA31" s="19"/>
      <c r="AB31" s="36"/>
      <c r="AC31" s="19"/>
      <c r="AD31" s="19"/>
      <c r="AE31" s="19"/>
      <c r="AF31" s="19"/>
      <c r="AG31" s="19"/>
      <c r="AH31" s="21"/>
      <c r="AI31" s="24"/>
      <c r="AJ31" s="19"/>
      <c r="AK31" s="38"/>
      <c r="AM31" s="25"/>
      <c r="AN31" s="26"/>
    </row>
    <row r="32" spans="2:40" s="23" customFormat="1" ht="12.75">
      <c r="B32" s="16"/>
      <c r="D32" s="17"/>
      <c r="E32" s="17"/>
      <c r="F32" s="19"/>
      <c r="G32" s="17"/>
      <c r="H32" s="43"/>
      <c r="I32" s="17"/>
      <c r="J32" s="18"/>
      <c r="K32" s="17"/>
      <c r="L32" s="17"/>
      <c r="M32" s="19"/>
      <c r="N32" s="16"/>
      <c r="O32" s="17"/>
      <c r="P32" s="38"/>
      <c r="Q32" s="19"/>
      <c r="R32" s="19"/>
      <c r="S32" s="19"/>
      <c r="T32" s="19"/>
      <c r="U32" s="19"/>
      <c r="V32" s="20"/>
      <c r="W32" s="19"/>
      <c r="X32" s="19"/>
      <c r="Y32" s="19"/>
      <c r="Z32" s="19"/>
      <c r="AA32" s="19"/>
      <c r="AB32" s="36"/>
      <c r="AC32" s="19"/>
      <c r="AD32" s="19"/>
      <c r="AE32" s="19"/>
      <c r="AF32" s="19"/>
      <c r="AG32" s="19"/>
      <c r="AH32" s="21"/>
      <c r="AI32" s="24"/>
      <c r="AJ32" s="19"/>
      <c r="AK32" s="38"/>
      <c r="AM32" s="25"/>
      <c r="AN32" s="26"/>
    </row>
    <row r="33" spans="2:40" s="23" customFormat="1" ht="12.75">
      <c r="B33" s="16"/>
      <c r="D33" s="17"/>
      <c r="E33" s="17"/>
      <c r="F33" s="19"/>
      <c r="G33" s="17"/>
      <c r="H33" s="43"/>
      <c r="I33" s="17"/>
      <c r="J33" s="18"/>
      <c r="K33" s="17"/>
      <c r="L33" s="17"/>
      <c r="M33" s="19"/>
      <c r="N33" s="16"/>
      <c r="O33" s="17"/>
      <c r="P33" s="38"/>
      <c r="Q33" s="19"/>
      <c r="R33" s="19"/>
      <c r="S33" s="19"/>
      <c r="T33" s="19"/>
      <c r="U33" s="19"/>
      <c r="V33" s="20"/>
      <c r="W33" s="19"/>
      <c r="X33" s="19"/>
      <c r="Y33" s="19"/>
      <c r="Z33" s="19"/>
      <c r="AA33" s="19"/>
      <c r="AB33" s="36"/>
      <c r="AC33" s="19"/>
      <c r="AD33" s="19"/>
      <c r="AE33" s="19"/>
      <c r="AF33" s="19"/>
      <c r="AG33" s="19"/>
      <c r="AH33" s="21"/>
      <c r="AI33" s="24"/>
      <c r="AJ33" s="19"/>
      <c r="AK33" s="38"/>
      <c r="AM33" s="25"/>
      <c r="AN33" s="26"/>
    </row>
    <row r="34" spans="4:40" s="23" customFormat="1" ht="12.75">
      <c r="D34" s="17"/>
      <c r="E34" s="17"/>
      <c r="F34" s="17"/>
      <c r="G34" s="17"/>
      <c r="H34" s="17"/>
      <c r="I34" s="17"/>
      <c r="J34" s="18"/>
      <c r="K34" s="17"/>
      <c r="L34" s="17"/>
      <c r="M34" s="19"/>
      <c r="N34" s="16"/>
      <c r="O34" s="17"/>
      <c r="P34" s="38"/>
      <c r="Q34" s="19"/>
      <c r="R34" s="19"/>
      <c r="S34" s="19"/>
      <c r="T34" s="19"/>
      <c r="U34" s="19"/>
      <c r="V34" s="20"/>
      <c r="W34" s="19"/>
      <c r="X34" s="19"/>
      <c r="Y34" s="19"/>
      <c r="Z34" s="19"/>
      <c r="AA34" s="19"/>
      <c r="AB34" s="36"/>
      <c r="AC34" s="19"/>
      <c r="AD34" s="19"/>
      <c r="AE34" s="19"/>
      <c r="AF34" s="21"/>
      <c r="AG34" s="21"/>
      <c r="AH34" s="21"/>
      <c r="AI34" s="24"/>
      <c r="AJ34" s="19"/>
      <c r="AK34" s="18"/>
      <c r="AM34" s="25"/>
      <c r="AN34" s="26"/>
    </row>
    <row r="35" spans="4:40" s="23" customFormat="1" ht="12.75">
      <c r="D35" s="17"/>
      <c r="E35" s="17"/>
      <c r="F35" s="17"/>
      <c r="G35" s="17"/>
      <c r="H35" s="17"/>
      <c r="I35" s="17"/>
      <c r="J35" s="18"/>
      <c r="K35" s="17"/>
      <c r="L35" s="17"/>
      <c r="M35" s="19"/>
      <c r="N35" s="16"/>
      <c r="O35" s="17"/>
      <c r="P35" s="38"/>
      <c r="Q35" s="19"/>
      <c r="R35" s="19"/>
      <c r="S35" s="19"/>
      <c r="T35" s="19"/>
      <c r="U35" s="19"/>
      <c r="V35" s="20"/>
      <c r="W35" s="19"/>
      <c r="X35" s="19"/>
      <c r="Y35" s="19"/>
      <c r="Z35" s="19"/>
      <c r="AA35" s="19"/>
      <c r="AB35" s="36"/>
      <c r="AC35" s="19"/>
      <c r="AD35" s="19"/>
      <c r="AE35" s="19"/>
      <c r="AF35" s="21"/>
      <c r="AG35" s="21"/>
      <c r="AH35" s="21"/>
      <c r="AI35" s="24"/>
      <c r="AJ35" s="19"/>
      <c r="AK35" s="18"/>
      <c r="AM35" s="25"/>
      <c r="AN35" s="26"/>
    </row>
    <row r="36" spans="4:40" s="23" customFormat="1" ht="12.75">
      <c r="D36" s="17"/>
      <c r="E36" s="17"/>
      <c r="F36" s="17"/>
      <c r="G36" s="17"/>
      <c r="H36" s="17"/>
      <c r="I36" s="17"/>
      <c r="J36" s="18"/>
      <c r="K36" s="17"/>
      <c r="L36" s="17"/>
      <c r="M36" s="19"/>
      <c r="N36" s="16"/>
      <c r="O36" s="17"/>
      <c r="P36" s="38"/>
      <c r="Q36" s="19"/>
      <c r="R36" s="19"/>
      <c r="S36" s="19"/>
      <c r="T36" s="19"/>
      <c r="U36" s="19"/>
      <c r="V36" s="20"/>
      <c r="W36" s="19"/>
      <c r="X36" s="19"/>
      <c r="Y36" s="19"/>
      <c r="Z36" s="19"/>
      <c r="AA36" s="19"/>
      <c r="AB36" s="36"/>
      <c r="AC36" s="19"/>
      <c r="AD36" s="19"/>
      <c r="AE36" s="19"/>
      <c r="AF36" s="21"/>
      <c r="AG36" s="21"/>
      <c r="AH36" s="21"/>
      <c r="AI36" s="24"/>
      <c r="AJ36" s="19"/>
      <c r="AK36" s="18"/>
      <c r="AM36" s="25"/>
      <c r="AN36" s="2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"/>
  <sheetViews>
    <sheetView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1" sqref="D21"/>
    </sheetView>
  </sheetViews>
  <sheetFormatPr defaultColWidth="9.140625" defaultRowHeight="12.75"/>
  <cols>
    <col min="1" max="1" width="6.140625" style="0" bestFit="1" customWidth="1"/>
    <col min="2" max="2" width="10.140625" style="0" customWidth="1"/>
    <col min="3" max="3" width="6.28125" style="0" hidden="1" customWidth="1"/>
    <col min="4" max="4" width="8.57421875" style="1" customWidth="1"/>
    <col min="5" max="5" width="6.8515625" style="1" hidden="1" customWidth="1"/>
    <col min="6" max="6" width="6.28125" style="1" hidden="1" customWidth="1"/>
    <col min="7" max="7" width="6.8515625" style="1" hidden="1" customWidth="1"/>
    <col min="8" max="8" width="7.8515625" style="1" hidden="1" customWidth="1"/>
    <col min="9" max="9" width="5.57421875" style="1" hidden="1" customWidth="1"/>
    <col min="10" max="10" width="7.140625" style="2" hidden="1" customWidth="1"/>
    <col min="11" max="11" width="5.8515625" style="1" hidden="1" customWidth="1"/>
    <col min="12" max="12" width="6.28125" style="1" hidden="1" customWidth="1"/>
    <col min="13" max="13" width="6.8515625" style="15" hidden="1" customWidth="1"/>
    <col min="14" max="14" width="10.57421875" style="10" hidden="1" customWidth="1"/>
    <col min="15" max="15" width="7.140625" style="1" hidden="1" customWidth="1"/>
    <col min="16" max="16" width="9.140625" style="39" hidden="1" customWidth="1"/>
    <col min="17" max="17" width="7.8515625" style="15" hidden="1" customWidth="1"/>
    <col min="18" max="19" width="7.00390625" style="15" hidden="1" customWidth="1"/>
    <col min="20" max="20" width="7.28125" style="15" hidden="1" customWidth="1"/>
    <col min="21" max="21" width="6.140625" style="12" hidden="1" customWidth="1"/>
    <col min="22" max="22" width="8.28125" style="15" hidden="1" customWidth="1"/>
    <col min="23" max="23" width="8.140625" style="15" hidden="1" customWidth="1"/>
    <col min="24" max="24" width="6.8515625" style="15" hidden="1" customWidth="1"/>
    <col min="25" max="25" width="8.28125" style="15" bestFit="1" customWidth="1"/>
    <col min="26" max="26" width="7.28125" style="15" hidden="1" customWidth="1"/>
    <col min="27" max="27" width="8.7109375" style="34" hidden="1" customWidth="1"/>
    <col min="28" max="28" width="7.421875" style="15" hidden="1" customWidth="1"/>
    <col min="29" max="30" width="7.140625" style="15" hidden="1" customWidth="1"/>
    <col min="31" max="31" width="8.7109375" style="21" hidden="1" customWidth="1"/>
    <col min="32" max="32" width="7.00390625" style="21" hidden="1" customWidth="1"/>
    <col min="33" max="33" width="10.8515625" style="13" hidden="1" customWidth="1"/>
    <col min="34" max="34" width="24.28125" style="22" hidden="1" customWidth="1"/>
    <col min="35" max="35" width="4.8515625" style="15" hidden="1" customWidth="1"/>
    <col min="36" max="36" width="10.28125" style="2" hidden="1" customWidth="1"/>
    <col min="37" max="37" width="7.28125" style="0" bestFit="1" customWidth="1"/>
    <col min="38" max="38" width="6.8515625" style="9" bestFit="1" customWidth="1"/>
    <col min="39" max="39" width="6.00390625" style="3" customWidth="1"/>
    <col min="40" max="40" width="6.140625" style="0" customWidth="1"/>
    <col min="41" max="41" width="6.28125" style="0" customWidth="1"/>
    <col min="42" max="42" width="6.7109375" style="0" customWidth="1"/>
    <col min="43" max="43" width="6.421875" style="0" customWidth="1"/>
    <col min="44" max="44" width="6.28125" style="0" bestFit="1" customWidth="1"/>
    <col min="45" max="45" width="6.8515625" style="0" customWidth="1"/>
    <col min="46" max="46" width="6.7109375" style="0" customWidth="1"/>
    <col min="47" max="49" width="6.8515625" style="0" customWidth="1"/>
    <col min="50" max="51" width="7.00390625" style="0" customWidth="1"/>
  </cols>
  <sheetData>
    <row r="1" spans="1:51" s="4" customFormat="1" ht="63.75">
      <c r="A1" s="4" t="s">
        <v>124</v>
      </c>
      <c r="B1" s="41" t="s">
        <v>186</v>
      </c>
      <c r="C1" s="4" t="s">
        <v>113</v>
      </c>
      <c r="D1" s="5" t="s">
        <v>1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8</v>
      </c>
      <c r="J1" s="31" t="s">
        <v>2</v>
      </c>
      <c r="K1" s="30" t="s">
        <v>10</v>
      </c>
      <c r="L1" s="30" t="s">
        <v>17</v>
      </c>
      <c r="M1" s="28" t="s">
        <v>11</v>
      </c>
      <c r="N1" s="29" t="s">
        <v>5</v>
      </c>
      <c r="O1" s="30" t="s">
        <v>3</v>
      </c>
      <c r="P1" s="37" t="s">
        <v>187</v>
      </c>
      <c r="Q1" s="28" t="s">
        <v>9</v>
      </c>
      <c r="R1" s="28" t="s">
        <v>12</v>
      </c>
      <c r="S1" s="28" t="s">
        <v>13</v>
      </c>
      <c r="T1" s="28" t="s">
        <v>6</v>
      </c>
      <c r="U1" s="32" t="s">
        <v>7</v>
      </c>
      <c r="V1" s="28" t="s">
        <v>22</v>
      </c>
      <c r="W1" s="28" t="s">
        <v>112</v>
      </c>
      <c r="X1" s="28" t="s">
        <v>111</v>
      </c>
      <c r="Y1" s="28" t="s">
        <v>203</v>
      </c>
      <c r="Z1" s="28" t="s">
        <v>125</v>
      </c>
      <c r="AA1" s="35" t="s">
        <v>33</v>
      </c>
      <c r="AB1" s="28" t="s">
        <v>31</v>
      </c>
      <c r="AC1" s="28" t="s">
        <v>37</v>
      </c>
      <c r="AD1" s="28" t="s">
        <v>36</v>
      </c>
      <c r="AE1" s="33" t="s">
        <v>35</v>
      </c>
      <c r="AF1" s="33" t="s">
        <v>32</v>
      </c>
      <c r="AG1" s="27" t="s">
        <v>29</v>
      </c>
      <c r="AH1" s="11" t="s">
        <v>27</v>
      </c>
      <c r="AI1" s="14" t="s">
        <v>109</v>
      </c>
      <c r="AJ1" s="6" t="s">
        <v>110</v>
      </c>
      <c r="AK1" s="4" t="s">
        <v>188</v>
      </c>
      <c r="AL1" s="45" t="s">
        <v>189</v>
      </c>
      <c r="AM1" s="46" t="s">
        <v>190</v>
      </c>
      <c r="AN1" s="41" t="s">
        <v>191</v>
      </c>
      <c r="AO1" s="41" t="s">
        <v>192</v>
      </c>
      <c r="AP1" s="41" t="s">
        <v>193</v>
      </c>
      <c r="AQ1" s="41" t="s">
        <v>194</v>
      </c>
      <c r="AR1" s="41" t="s">
        <v>195</v>
      </c>
      <c r="AS1" s="41" t="s">
        <v>196</v>
      </c>
      <c r="AT1" s="41" t="s">
        <v>197</v>
      </c>
      <c r="AU1" s="41" t="s">
        <v>198</v>
      </c>
      <c r="AV1" s="41" t="s">
        <v>199</v>
      </c>
      <c r="AW1" s="41" t="s">
        <v>200</v>
      </c>
      <c r="AX1" s="41" t="s">
        <v>201</v>
      </c>
      <c r="AY1" s="41" t="s">
        <v>202</v>
      </c>
    </row>
    <row r="2" spans="1:39" s="23" customFormat="1" ht="12.75">
      <c r="A2" s="42" t="s">
        <v>185</v>
      </c>
      <c r="B2" s="16">
        <v>25917</v>
      </c>
      <c r="C2" s="23">
        <v>1</v>
      </c>
      <c r="D2" s="17">
        <v>824</v>
      </c>
      <c r="E2" s="17" t="e">
        <f>VLOOKUP($A2,Stocks!$A$2:$Z$999,13,FALSE)</f>
        <v>#N/A</v>
      </c>
      <c r="F2" s="19" t="e">
        <f aca="true" t="shared" si="0" ref="F2:F21">IF(AND(D2&gt;E2,E2+0&gt;0),(D2-E2)/E2,"")</f>
        <v>#N/A</v>
      </c>
      <c r="G2" s="17" t="e">
        <f>VLOOKUP($A2,Stocks!$A$2:$Z$999,14,FALSE)</f>
        <v>#N/A</v>
      </c>
      <c r="H2" s="43" t="e">
        <f aca="true" t="shared" si="1" ref="H2:H21">IF(G2+0&gt;0,(D2-G2)/G2,"")</f>
        <v>#N/A</v>
      </c>
      <c r="I2" s="17" t="e">
        <f>VLOOKUP($A2,Stocks!$A$2:$Z$999,10,FALSE)</f>
        <v>#N/A</v>
      </c>
      <c r="J2" s="18" t="e">
        <f aca="true" t="shared" si="2" ref="J2:J21">I2/D2</f>
        <v>#N/A</v>
      </c>
      <c r="K2" s="17"/>
      <c r="L2" s="17"/>
      <c r="M2" s="19">
        <f aca="true" t="shared" si="3" ref="M2:M21">K2/D2</f>
        <v>0</v>
      </c>
      <c r="N2" s="16">
        <f ca="1">TODAY()</f>
        <v>39990</v>
      </c>
      <c r="O2" s="17"/>
      <c r="P2" s="38">
        <v>8600</v>
      </c>
      <c r="Q2" s="19">
        <f aca="true" t="shared" si="4" ref="Q2:Q21">(K2+O2)/D2</f>
        <v>0</v>
      </c>
      <c r="R2" s="19">
        <f aca="true" t="shared" si="5" ref="R2:R21">IF(D2&gt;0,((MIN(D2,P2)-D2)+O2)/D2,"")</f>
        <v>0</v>
      </c>
      <c r="S2" s="19">
        <f aca="true" t="shared" si="6" ref="S2:S21">IF(P2&gt;0,(P2-D2)/D2,"0")</f>
        <v>9.436893203883495</v>
      </c>
      <c r="T2" s="19">
        <f aca="true" t="shared" si="7" ref="T2:T21">IF(D2&gt;0,(Q2+(P2-D2)/D2),"")</f>
        <v>9.436893203883495</v>
      </c>
      <c r="U2" s="20">
        <f aca="true" t="shared" si="8" ref="U2:U21">N2-B2</f>
        <v>14073</v>
      </c>
      <c r="V2" s="19">
        <f aca="true" t="shared" si="9" ref="V2:V21">IF(D2&lt;P2,(((P2+K2+L2)*C2)/((D2-O2)*C2))^(365/U2)-1,(((P2+K2+L2+O2)*C2)/(D2*C2))^(365/U2)-1)</f>
        <v>0.06271756069239665</v>
      </c>
      <c r="W2" s="19">
        <f aca="true" t="shared" si="10" ref="W2:W21">IF(D2&lt;P2,((K2+L2+O2)/D2)*(365/U2),((O2+K2+L2)/D2)*365/U2)</f>
        <v>0</v>
      </c>
      <c r="X2" s="19">
        <f aca="true" t="shared" si="11" ref="X2:X21">IF(D2&lt;P2,((O2+L2)/D2)*(365/U2),((O2+L2)/D2)*365/U2)</f>
        <v>0</v>
      </c>
      <c r="Y2" s="19">
        <f>IF(U2&gt;100,((P2)/D2)^(365/U2)-1,(P2-D2)/D2)</f>
        <v>0.06271756069239665</v>
      </c>
      <c r="Z2" s="19">
        <f aca="true" t="shared" si="12" ref="Z2:Z21">IF(P2&gt;D2,(P2-D2)/D2,0)</f>
        <v>9.436893203883495</v>
      </c>
      <c r="AA2" s="36">
        <f aca="true" t="shared" si="13" ref="AA2:AA21">C2*(P2-D2+O2+L2+K2)</f>
        <v>7776</v>
      </c>
      <c r="AB2" s="19">
        <f aca="true" t="shared" si="14" ref="AB2:AB21">(AA2)/(C2*D2)</f>
        <v>9.436893203883495</v>
      </c>
      <c r="AC2" s="19">
        <f aca="true" t="shared" si="15" ref="AC2:AC21">V2/12</f>
        <v>0.005226463391033054</v>
      </c>
      <c r="AD2" s="19" t="e">
        <f aca="true" t="shared" si="16" ref="AD2:AD21">IF(J2&lt;0.01,AB2/(U2/30),AB2/(U2/30))</f>
        <v>#N/A</v>
      </c>
      <c r="AE2" s="19" t="e">
        <f aca="true" t="shared" si="17" ref="AE2:AE21">IF(AB2&lt;0.1,"low",IF(AD2&gt;0.025,"XCEL",IF(AD2&gt;0.0225,"VGD",IF(AD2&gt;0.02,"GOOD",IF(AD2&gt;0.0175,"OK",IF(AD2&gt;0.015,"MARG","BAD"))))))</f>
        <v>#N/A</v>
      </c>
      <c r="AF2" s="19" t="e">
        <f aca="true" t="shared" si="18" ref="AF2:AF21">IF(J2&gt;0.02,UPPER(AE2),LOWER(AE2))</f>
        <v>#N/A</v>
      </c>
      <c r="AG2" s="21">
        <f aca="true" t="shared" si="19" ref="AG2:AG21">C2*(O2+L2+K2)</f>
        <v>0</v>
      </c>
      <c r="AH2" s="24"/>
      <c r="AI2" s="19"/>
      <c r="AJ2" s="38">
        <f aca="true" t="shared" si="20" ref="AJ2:AJ21">IF(AI2="Y",O2*C2,"")</f>
      </c>
      <c r="AL2" s="25"/>
      <c r="AM2" s="26"/>
    </row>
    <row r="3" spans="1:39" s="23" customFormat="1" ht="12.75">
      <c r="A3" s="42" t="s">
        <v>185</v>
      </c>
      <c r="B3" s="16">
        <f aca="true" t="shared" si="21" ref="B3:B20">B2+365+366</f>
        <v>26648</v>
      </c>
      <c r="C3" s="23">
        <v>1</v>
      </c>
      <c r="D3" s="17">
        <v>1020</v>
      </c>
      <c r="E3" s="17" t="e">
        <f>VLOOKUP($A3,Stocks!$A$2:$Z$999,13,FALSE)</f>
        <v>#N/A</v>
      </c>
      <c r="F3" s="19" t="e">
        <f t="shared" si="0"/>
        <v>#N/A</v>
      </c>
      <c r="G3" s="17" t="e">
        <f>VLOOKUP($A3,Stocks!$A$2:$Z$999,14,FALSE)</f>
        <v>#N/A</v>
      </c>
      <c r="H3" s="43" t="e">
        <f t="shared" si="1"/>
        <v>#N/A</v>
      </c>
      <c r="I3" s="17" t="e">
        <f>VLOOKUP($A3,Stocks!$A$2:$Z$999,10,FALSE)</f>
        <v>#N/A</v>
      </c>
      <c r="J3" s="18" t="e">
        <f t="shared" si="2"/>
        <v>#N/A</v>
      </c>
      <c r="K3" s="17"/>
      <c r="L3" s="17"/>
      <c r="M3" s="19">
        <f t="shared" si="3"/>
        <v>0</v>
      </c>
      <c r="N3" s="16">
        <f aca="true" ca="1" t="shared" si="22" ref="N3:N21">TODAY()</f>
        <v>39990</v>
      </c>
      <c r="O3" s="17"/>
      <c r="P3" s="38">
        <v>8600</v>
      </c>
      <c r="Q3" s="19">
        <f t="shared" si="4"/>
        <v>0</v>
      </c>
      <c r="R3" s="19">
        <f t="shared" si="5"/>
        <v>0</v>
      </c>
      <c r="S3" s="19">
        <f t="shared" si="6"/>
        <v>7.431372549019608</v>
      </c>
      <c r="T3" s="19">
        <f t="shared" si="7"/>
        <v>7.431372549019608</v>
      </c>
      <c r="U3" s="20">
        <f t="shared" si="8"/>
        <v>13342</v>
      </c>
      <c r="V3" s="19">
        <f t="shared" si="9"/>
        <v>0.06005891045261258</v>
      </c>
      <c r="W3" s="19">
        <f t="shared" si="10"/>
        <v>0</v>
      </c>
      <c r="X3" s="19">
        <f t="shared" si="11"/>
        <v>0</v>
      </c>
      <c r="Y3" s="19">
        <f>IF($U3&gt;100,(($P3)/$D3)^(365/$U3)-1,($P3-$D3)/$D3)</f>
        <v>0.06005891045261258</v>
      </c>
      <c r="Z3" s="19">
        <f t="shared" si="12"/>
        <v>7.431372549019608</v>
      </c>
      <c r="AA3" s="36">
        <f t="shared" si="13"/>
        <v>7580</v>
      </c>
      <c r="AB3" s="19">
        <f t="shared" si="14"/>
        <v>7.431372549019608</v>
      </c>
      <c r="AC3" s="19">
        <f t="shared" si="15"/>
        <v>0.005004909204384382</v>
      </c>
      <c r="AD3" s="19" t="e">
        <f t="shared" si="16"/>
        <v>#N/A</v>
      </c>
      <c r="AE3" s="19" t="e">
        <f t="shared" si="17"/>
        <v>#N/A</v>
      </c>
      <c r="AF3" s="19" t="e">
        <f t="shared" si="18"/>
        <v>#N/A</v>
      </c>
      <c r="AG3" s="21">
        <f t="shared" si="19"/>
        <v>0</v>
      </c>
      <c r="AH3" s="24"/>
      <c r="AI3" s="19"/>
      <c r="AJ3" s="38">
        <f t="shared" si="20"/>
      </c>
      <c r="AK3" s="19">
        <f>(($D3)/$D$2)^(365/($U$2-$U3))-1</f>
        <v>0.11243102416618145</v>
      </c>
      <c r="AL3" s="19">
        <f>(($D3)/$D2)^(365/($U2-$U3))-1</f>
        <v>0.11243102416618145</v>
      </c>
      <c r="AM3" s="26"/>
    </row>
    <row r="4" spans="1:39" s="23" customFormat="1" ht="12.75">
      <c r="A4" s="42" t="s">
        <v>185</v>
      </c>
      <c r="B4" s="16">
        <f t="shared" si="21"/>
        <v>27379</v>
      </c>
      <c r="C4" s="23">
        <v>1</v>
      </c>
      <c r="D4" s="17">
        <v>616</v>
      </c>
      <c r="E4" s="17" t="e">
        <f>VLOOKUP($A4,Stocks!$A$2:$Z$999,13,FALSE)</f>
        <v>#N/A</v>
      </c>
      <c r="F4" s="19" t="e">
        <f t="shared" si="0"/>
        <v>#N/A</v>
      </c>
      <c r="G4" s="17" t="e">
        <f>VLOOKUP($A4,Stocks!$A$2:$Z$999,14,FALSE)</f>
        <v>#N/A</v>
      </c>
      <c r="H4" s="43" t="e">
        <f t="shared" si="1"/>
        <v>#N/A</v>
      </c>
      <c r="I4" s="17" t="e">
        <f>VLOOKUP($A4,Stocks!$A$2:$Z$999,10,FALSE)</f>
        <v>#N/A</v>
      </c>
      <c r="J4" s="18" t="e">
        <f t="shared" si="2"/>
        <v>#N/A</v>
      </c>
      <c r="K4" s="17"/>
      <c r="L4" s="17"/>
      <c r="M4" s="19">
        <f t="shared" si="3"/>
        <v>0</v>
      </c>
      <c r="N4" s="16">
        <f ca="1" t="shared" si="22"/>
        <v>39990</v>
      </c>
      <c r="O4" s="17"/>
      <c r="P4" s="38">
        <v>8600</v>
      </c>
      <c r="Q4" s="19">
        <f t="shared" si="4"/>
        <v>0</v>
      </c>
      <c r="R4" s="19">
        <f t="shared" si="5"/>
        <v>0</v>
      </c>
      <c r="S4" s="19">
        <f t="shared" si="6"/>
        <v>12.96103896103896</v>
      </c>
      <c r="T4" s="19">
        <f t="shared" si="7"/>
        <v>12.96103896103896</v>
      </c>
      <c r="U4" s="20">
        <f t="shared" si="8"/>
        <v>12611</v>
      </c>
      <c r="V4" s="19">
        <f t="shared" si="9"/>
        <v>0.07928797516364194</v>
      </c>
      <c r="W4" s="19">
        <f t="shared" si="10"/>
        <v>0</v>
      </c>
      <c r="X4" s="19">
        <f t="shared" si="11"/>
        <v>0</v>
      </c>
      <c r="Y4" s="19">
        <f aca="true" t="shared" si="23" ref="Y4:Y21">IF(U4&gt;100,((P4)/D4)^(365/U4)-1,(P4-D4)/D4)</f>
        <v>0.07928797516364194</v>
      </c>
      <c r="Z4" s="19">
        <f t="shared" si="12"/>
        <v>12.96103896103896</v>
      </c>
      <c r="AA4" s="36">
        <f t="shared" si="13"/>
        <v>7984</v>
      </c>
      <c r="AB4" s="19">
        <f t="shared" si="14"/>
        <v>12.96103896103896</v>
      </c>
      <c r="AC4" s="19">
        <f t="shared" si="15"/>
        <v>0.006607331263636829</v>
      </c>
      <c r="AD4" s="19" t="e">
        <f t="shared" si="16"/>
        <v>#N/A</v>
      </c>
      <c r="AE4" s="19" t="e">
        <f t="shared" si="17"/>
        <v>#N/A</v>
      </c>
      <c r="AF4" s="19" t="e">
        <f t="shared" si="18"/>
        <v>#N/A</v>
      </c>
      <c r="AG4" s="21">
        <f t="shared" si="19"/>
        <v>0</v>
      </c>
      <c r="AH4" s="24"/>
      <c r="AI4" s="19"/>
      <c r="AJ4" s="38">
        <f t="shared" si="20"/>
      </c>
      <c r="AK4" s="19">
        <f aca="true" t="shared" si="24" ref="AK4:AK21">(($D4)/$D$2)^(365/($U$2-$U4))-1</f>
        <v>-0.07005645272327177</v>
      </c>
      <c r="AL4" s="19">
        <f aca="true" t="shared" si="25" ref="AL4:AL21">(($D4)/$D3)^(365/($U3-$U4))-1</f>
        <v>-0.2226079798791767</v>
      </c>
      <c r="AM4" s="19">
        <f>(($D4)/$D2)^(365/($U2-$U4))-1</f>
        <v>-0.07005645272327177</v>
      </c>
    </row>
    <row r="5" spans="1:40" s="23" customFormat="1" ht="12.75">
      <c r="A5" s="42" t="s">
        <v>185</v>
      </c>
      <c r="B5" s="16">
        <f t="shared" si="21"/>
        <v>28110</v>
      </c>
      <c r="C5" s="23">
        <v>1</v>
      </c>
      <c r="D5" s="17">
        <v>1005</v>
      </c>
      <c r="E5" s="17" t="e">
        <f>VLOOKUP($A5,Stocks!$A$2:$Z$999,13,FALSE)</f>
        <v>#N/A</v>
      </c>
      <c r="F5" s="19" t="e">
        <f t="shared" si="0"/>
        <v>#N/A</v>
      </c>
      <c r="G5" s="17" t="e">
        <f>VLOOKUP($A5,Stocks!$A$2:$Z$999,14,FALSE)</f>
        <v>#N/A</v>
      </c>
      <c r="H5" s="43" t="e">
        <f t="shared" si="1"/>
        <v>#N/A</v>
      </c>
      <c r="I5" s="17" t="e">
        <f>VLOOKUP($A5,Stocks!$A$2:$Z$999,10,FALSE)</f>
        <v>#N/A</v>
      </c>
      <c r="J5" s="18" t="e">
        <f t="shared" si="2"/>
        <v>#N/A</v>
      </c>
      <c r="K5" s="17"/>
      <c r="L5" s="17"/>
      <c r="M5" s="19">
        <f t="shared" si="3"/>
        <v>0</v>
      </c>
      <c r="N5" s="16">
        <f ca="1" t="shared" si="22"/>
        <v>39990</v>
      </c>
      <c r="O5" s="17"/>
      <c r="P5" s="38">
        <v>8600</v>
      </c>
      <c r="Q5" s="19">
        <f t="shared" si="4"/>
        <v>0</v>
      </c>
      <c r="R5" s="19">
        <f t="shared" si="5"/>
        <v>0</v>
      </c>
      <c r="S5" s="19">
        <f t="shared" si="6"/>
        <v>7.557213930348259</v>
      </c>
      <c r="T5" s="19">
        <f t="shared" si="7"/>
        <v>7.557213930348259</v>
      </c>
      <c r="U5" s="20">
        <f t="shared" si="8"/>
        <v>11880</v>
      </c>
      <c r="V5" s="19">
        <f t="shared" si="9"/>
        <v>0.06818110733507399</v>
      </c>
      <c r="W5" s="19">
        <f t="shared" si="10"/>
        <v>0</v>
      </c>
      <c r="X5" s="19">
        <f t="shared" si="11"/>
        <v>0</v>
      </c>
      <c r="Y5" s="19">
        <f t="shared" si="23"/>
        <v>0.06818110733507399</v>
      </c>
      <c r="Z5" s="19">
        <f t="shared" si="12"/>
        <v>7.557213930348259</v>
      </c>
      <c r="AA5" s="36">
        <f t="shared" si="13"/>
        <v>7595</v>
      </c>
      <c r="AB5" s="19">
        <f t="shared" si="14"/>
        <v>7.557213930348259</v>
      </c>
      <c r="AC5" s="19">
        <f t="shared" si="15"/>
        <v>0.005681758944589499</v>
      </c>
      <c r="AD5" s="19" t="e">
        <f t="shared" si="16"/>
        <v>#N/A</v>
      </c>
      <c r="AE5" s="19" t="e">
        <f t="shared" si="17"/>
        <v>#N/A</v>
      </c>
      <c r="AF5" s="19" t="e">
        <f t="shared" si="18"/>
        <v>#N/A</v>
      </c>
      <c r="AG5" s="21">
        <f t="shared" si="19"/>
        <v>0</v>
      </c>
      <c r="AH5" s="24"/>
      <c r="AI5" s="19"/>
      <c r="AJ5" s="38">
        <f t="shared" si="20"/>
      </c>
      <c r="AK5" s="19">
        <f t="shared" si="24"/>
        <v>0.03360232932119733</v>
      </c>
      <c r="AL5" s="19">
        <f t="shared" si="25"/>
        <v>0.27687171767243157</v>
      </c>
      <c r="AM5" s="19">
        <f aca="true" t="shared" si="26" ref="AM5:AM21">(($D5)/$D3)^(365/($U3-$U5))-1</f>
        <v>-0.003691872944661112</v>
      </c>
      <c r="AN5" s="19">
        <f>(($D5)/$D2)^(365/($U2-$U5))-1</f>
        <v>0.03360232932119733</v>
      </c>
    </row>
    <row r="6" spans="1:41" s="23" customFormat="1" ht="12.75">
      <c r="A6" s="42" t="s">
        <v>185</v>
      </c>
      <c r="B6" s="16">
        <f t="shared" si="21"/>
        <v>28841</v>
      </c>
      <c r="C6" s="23">
        <v>1</v>
      </c>
      <c r="D6" s="17">
        <v>805</v>
      </c>
      <c r="E6" s="17" t="e">
        <f>VLOOKUP($A6,Stocks!$A$2:$Z$999,13,FALSE)</f>
        <v>#N/A</v>
      </c>
      <c r="F6" s="19" t="e">
        <f t="shared" si="0"/>
        <v>#N/A</v>
      </c>
      <c r="G6" s="17" t="e">
        <f>VLOOKUP($A6,Stocks!$A$2:$Z$999,14,FALSE)</f>
        <v>#N/A</v>
      </c>
      <c r="H6" s="43" t="e">
        <f t="shared" si="1"/>
        <v>#N/A</v>
      </c>
      <c r="I6" s="17" t="e">
        <f>VLOOKUP($A6,Stocks!$A$2:$Z$999,10,FALSE)</f>
        <v>#N/A</v>
      </c>
      <c r="J6" s="18" t="e">
        <f t="shared" si="2"/>
        <v>#N/A</v>
      </c>
      <c r="K6" s="17"/>
      <c r="L6" s="17"/>
      <c r="M6" s="19">
        <f t="shared" si="3"/>
        <v>0</v>
      </c>
      <c r="N6" s="16">
        <f ca="1" t="shared" si="22"/>
        <v>39990</v>
      </c>
      <c r="O6" s="17"/>
      <c r="P6" s="38">
        <v>8600</v>
      </c>
      <c r="Q6" s="19">
        <f t="shared" si="4"/>
        <v>0</v>
      </c>
      <c r="R6" s="19">
        <f t="shared" si="5"/>
        <v>0</v>
      </c>
      <c r="S6" s="19">
        <f t="shared" si="6"/>
        <v>9.683229813664596</v>
      </c>
      <c r="T6" s="19">
        <f t="shared" si="7"/>
        <v>9.683229813664596</v>
      </c>
      <c r="U6" s="20">
        <f t="shared" si="8"/>
        <v>11149</v>
      </c>
      <c r="V6" s="19">
        <f t="shared" si="9"/>
        <v>0.08063253122452996</v>
      </c>
      <c r="W6" s="19">
        <f t="shared" si="10"/>
        <v>0</v>
      </c>
      <c r="X6" s="19">
        <f t="shared" si="11"/>
        <v>0</v>
      </c>
      <c r="Y6" s="19">
        <f t="shared" si="23"/>
        <v>0.08063253122452996</v>
      </c>
      <c r="Z6" s="19">
        <f t="shared" si="12"/>
        <v>9.683229813664596</v>
      </c>
      <c r="AA6" s="36">
        <f t="shared" si="13"/>
        <v>7795</v>
      </c>
      <c r="AB6" s="19">
        <f t="shared" si="14"/>
        <v>9.683229813664596</v>
      </c>
      <c r="AC6" s="19">
        <f t="shared" si="15"/>
        <v>0.006719377602044163</v>
      </c>
      <c r="AD6" s="19" t="e">
        <f t="shared" si="16"/>
        <v>#N/A</v>
      </c>
      <c r="AE6" s="19" t="e">
        <f t="shared" si="17"/>
        <v>#N/A</v>
      </c>
      <c r="AF6" s="19" t="e">
        <f t="shared" si="18"/>
        <v>#N/A</v>
      </c>
      <c r="AG6" s="21">
        <f t="shared" si="19"/>
        <v>0</v>
      </c>
      <c r="AH6" s="24"/>
      <c r="AI6" s="19"/>
      <c r="AJ6" s="38">
        <f t="shared" si="20"/>
      </c>
      <c r="AK6" s="19">
        <f t="shared" si="24"/>
        <v>-0.002907806579137806</v>
      </c>
      <c r="AL6" s="19">
        <f t="shared" si="25"/>
        <v>-0.10488089628088182</v>
      </c>
      <c r="AM6" s="19">
        <f t="shared" si="26"/>
        <v>0.06908945719581294</v>
      </c>
      <c r="AN6" s="19">
        <f aca="true" t="shared" si="27" ref="AN6:AN21">(($D6)/$D3)^(365/($U3-$U6))-1</f>
        <v>-0.038632601055840654</v>
      </c>
      <c r="AO6" s="19">
        <f>(($D6)/$D2)^(365/($U2-$U6))-1</f>
        <v>-0.002907806579137806</v>
      </c>
    </row>
    <row r="7" spans="1:42" s="23" customFormat="1" ht="12.75">
      <c r="A7" s="42" t="s">
        <v>185</v>
      </c>
      <c r="B7" s="16">
        <f t="shared" si="21"/>
        <v>29572</v>
      </c>
      <c r="C7" s="23">
        <v>1</v>
      </c>
      <c r="D7" s="17">
        <v>964</v>
      </c>
      <c r="E7" s="17" t="e">
        <f>VLOOKUP($A7,Stocks!$A$2:$Z$999,13,FALSE)</f>
        <v>#N/A</v>
      </c>
      <c r="F7" s="19" t="e">
        <f t="shared" si="0"/>
        <v>#N/A</v>
      </c>
      <c r="G7" s="17" t="e">
        <f>VLOOKUP($A7,Stocks!$A$2:$Z$999,14,FALSE)</f>
        <v>#N/A</v>
      </c>
      <c r="H7" s="43" t="e">
        <f t="shared" si="1"/>
        <v>#N/A</v>
      </c>
      <c r="I7" s="17" t="e">
        <f>VLOOKUP($A7,Stocks!$A$2:$Z$999,10,FALSE)</f>
        <v>#N/A</v>
      </c>
      <c r="J7" s="18" t="e">
        <f t="shared" si="2"/>
        <v>#N/A</v>
      </c>
      <c r="K7" s="17"/>
      <c r="L7" s="17"/>
      <c r="M7" s="19">
        <f t="shared" si="3"/>
        <v>0</v>
      </c>
      <c r="N7" s="16">
        <f ca="1" t="shared" si="22"/>
        <v>39990</v>
      </c>
      <c r="O7" s="17"/>
      <c r="P7" s="38">
        <v>8600</v>
      </c>
      <c r="Q7" s="19">
        <f t="shared" si="4"/>
        <v>0</v>
      </c>
      <c r="R7" s="19">
        <f t="shared" si="5"/>
        <v>0</v>
      </c>
      <c r="S7" s="19">
        <f t="shared" si="6"/>
        <v>7.921161825726141</v>
      </c>
      <c r="T7" s="19">
        <f t="shared" si="7"/>
        <v>7.921161825726141</v>
      </c>
      <c r="U7" s="20">
        <f t="shared" si="8"/>
        <v>10418</v>
      </c>
      <c r="V7" s="19">
        <f t="shared" si="9"/>
        <v>0.07968857116150341</v>
      </c>
      <c r="W7" s="19">
        <f t="shared" si="10"/>
        <v>0</v>
      </c>
      <c r="X7" s="19">
        <f t="shared" si="11"/>
        <v>0</v>
      </c>
      <c r="Y7" s="19">
        <f t="shared" si="23"/>
        <v>0.07968857116150341</v>
      </c>
      <c r="Z7" s="19">
        <f t="shared" si="12"/>
        <v>7.921161825726141</v>
      </c>
      <c r="AA7" s="36">
        <f t="shared" si="13"/>
        <v>7636</v>
      </c>
      <c r="AB7" s="19">
        <f t="shared" si="14"/>
        <v>7.921161825726141</v>
      </c>
      <c r="AC7" s="19">
        <f t="shared" si="15"/>
        <v>0.006640714263458618</v>
      </c>
      <c r="AD7" s="19" t="e">
        <f t="shared" si="16"/>
        <v>#N/A</v>
      </c>
      <c r="AE7" s="19" t="e">
        <f t="shared" si="17"/>
        <v>#N/A</v>
      </c>
      <c r="AF7" s="19" t="e">
        <f t="shared" si="18"/>
        <v>#N/A</v>
      </c>
      <c r="AG7" s="21">
        <f t="shared" si="19"/>
        <v>0</v>
      </c>
      <c r="AH7" s="24"/>
      <c r="AI7" s="19"/>
      <c r="AJ7" s="38">
        <f t="shared" si="20"/>
      </c>
      <c r="AK7" s="19">
        <f t="shared" si="24"/>
        <v>0.015794037775559433</v>
      </c>
      <c r="AL7" s="19">
        <f t="shared" si="25"/>
        <v>0.09417561778299377</v>
      </c>
      <c r="AM7" s="19">
        <f t="shared" si="26"/>
        <v>-0.010344757856946551</v>
      </c>
      <c r="AN7" s="19">
        <f t="shared" si="27"/>
        <v>0.07738694510612731</v>
      </c>
      <c r="AO7" s="19">
        <f aca="true" t="shared" si="28" ref="AO7:AO21">(($D7)/$D3)^(365/($U3-$U7))-1</f>
        <v>-0.00702388713018709</v>
      </c>
      <c r="AP7" s="19">
        <f>(($D7)/$D2)^(365/($U2-$U7))-1</f>
        <v>0.015794037775559433</v>
      </c>
    </row>
    <row r="8" spans="1:43" s="23" customFormat="1" ht="12.75">
      <c r="A8" s="42" t="s">
        <v>185</v>
      </c>
      <c r="B8" s="16">
        <f t="shared" si="21"/>
        <v>30303</v>
      </c>
      <c r="C8" s="23">
        <v>1</v>
      </c>
      <c r="D8" s="17">
        <v>1047</v>
      </c>
      <c r="E8" s="17" t="e">
        <f>VLOOKUP($A8,Stocks!$A$2:$Z$999,13,FALSE)</f>
        <v>#N/A</v>
      </c>
      <c r="F8" s="19" t="e">
        <f t="shared" si="0"/>
        <v>#N/A</v>
      </c>
      <c r="G8" s="17" t="e">
        <f>VLOOKUP($A8,Stocks!$A$2:$Z$999,14,FALSE)</f>
        <v>#N/A</v>
      </c>
      <c r="H8" s="43" t="e">
        <f t="shared" si="1"/>
        <v>#N/A</v>
      </c>
      <c r="I8" s="17" t="e">
        <f>VLOOKUP($A8,Stocks!$A$2:$Z$999,10,FALSE)</f>
        <v>#N/A</v>
      </c>
      <c r="J8" s="18" t="e">
        <f t="shared" si="2"/>
        <v>#N/A</v>
      </c>
      <c r="K8" s="17"/>
      <c r="L8" s="17"/>
      <c r="M8" s="19">
        <f t="shared" si="3"/>
        <v>0</v>
      </c>
      <c r="N8" s="16">
        <f ca="1" t="shared" si="22"/>
        <v>39990</v>
      </c>
      <c r="O8" s="17"/>
      <c r="P8" s="38">
        <v>8600</v>
      </c>
      <c r="Q8" s="19">
        <f t="shared" si="4"/>
        <v>0</v>
      </c>
      <c r="R8" s="19">
        <f t="shared" si="5"/>
        <v>0</v>
      </c>
      <c r="S8" s="19">
        <f t="shared" si="6"/>
        <v>7.213944603629417</v>
      </c>
      <c r="T8" s="19">
        <f t="shared" si="7"/>
        <v>7.213944603629417</v>
      </c>
      <c r="U8" s="20">
        <f t="shared" si="8"/>
        <v>9687</v>
      </c>
      <c r="V8" s="19">
        <f t="shared" si="9"/>
        <v>0.08257932597700446</v>
      </c>
      <c r="W8" s="19">
        <f t="shared" si="10"/>
        <v>0</v>
      </c>
      <c r="X8" s="19">
        <f t="shared" si="11"/>
        <v>0</v>
      </c>
      <c r="Y8" s="19">
        <f t="shared" si="23"/>
        <v>0.08257932597700446</v>
      </c>
      <c r="Z8" s="19">
        <f t="shared" si="12"/>
        <v>7.213944603629417</v>
      </c>
      <c r="AA8" s="36">
        <f t="shared" si="13"/>
        <v>7553</v>
      </c>
      <c r="AB8" s="19">
        <f t="shared" si="14"/>
        <v>7.213944603629417</v>
      </c>
      <c r="AC8" s="19">
        <f t="shared" si="15"/>
        <v>0.006881610498083705</v>
      </c>
      <c r="AD8" s="19" t="e">
        <f t="shared" si="16"/>
        <v>#N/A</v>
      </c>
      <c r="AE8" s="19" t="e">
        <f t="shared" si="17"/>
        <v>#N/A</v>
      </c>
      <c r="AF8" s="19" t="e">
        <f t="shared" si="18"/>
        <v>#N/A</v>
      </c>
      <c r="AG8" s="21">
        <f t="shared" si="19"/>
        <v>0</v>
      </c>
      <c r="AH8" s="24"/>
      <c r="AI8" s="19"/>
      <c r="AJ8" s="38">
        <f t="shared" si="20"/>
      </c>
      <c r="AK8" s="19">
        <f t="shared" si="24"/>
        <v>0.020132141170284612</v>
      </c>
      <c r="AL8" s="19">
        <f t="shared" si="25"/>
        <v>0.04210214361334064</v>
      </c>
      <c r="AM8" s="19">
        <f t="shared" si="26"/>
        <v>0.06782150043024937</v>
      </c>
      <c r="AN8" s="19">
        <f t="shared" si="27"/>
        <v>0.006837500194212476</v>
      </c>
      <c r="AO8" s="19">
        <f t="shared" si="28"/>
        <v>0.0684552907244147</v>
      </c>
      <c r="AP8" s="19">
        <f aca="true" t="shared" si="29" ref="AP8:AP21">(($D8)/$D3)^(365/($U3-$U8))-1</f>
        <v>0.002612462959002304</v>
      </c>
      <c r="AQ8" s="19">
        <f>(($D8)/$D2)^(365/($U2-$U8))-1</f>
        <v>0.020132141170284612</v>
      </c>
    </row>
    <row r="9" spans="1:44" s="23" customFormat="1" ht="12.75">
      <c r="A9" s="42" t="s">
        <v>185</v>
      </c>
      <c r="B9" s="16">
        <f t="shared" si="21"/>
        <v>31034</v>
      </c>
      <c r="C9" s="23">
        <v>1</v>
      </c>
      <c r="D9" s="17">
        <v>1212</v>
      </c>
      <c r="E9" s="17" t="e">
        <f>VLOOKUP($A9,Stocks!$A$2:$Z$999,13,FALSE)</f>
        <v>#N/A</v>
      </c>
      <c r="F9" s="19" t="e">
        <f t="shared" si="0"/>
        <v>#N/A</v>
      </c>
      <c r="G9" s="17" t="e">
        <f>VLOOKUP($A9,Stocks!$A$2:$Z$999,14,FALSE)</f>
        <v>#N/A</v>
      </c>
      <c r="H9" s="43" t="e">
        <f t="shared" si="1"/>
        <v>#N/A</v>
      </c>
      <c r="I9" s="17" t="e">
        <f>VLOOKUP($A9,Stocks!$A$2:$Z$999,10,FALSE)</f>
        <v>#N/A</v>
      </c>
      <c r="J9" s="18" t="e">
        <f t="shared" si="2"/>
        <v>#N/A</v>
      </c>
      <c r="K9" s="17"/>
      <c r="L9" s="17"/>
      <c r="M9" s="19">
        <f t="shared" si="3"/>
        <v>0</v>
      </c>
      <c r="N9" s="16">
        <f ca="1" t="shared" si="22"/>
        <v>39990</v>
      </c>
      <c r="O9" s="17"/>
      <c r="P9" s="38">
        <v>8600</v>
      </c>
      <c r="Q9" s="19">
        <f t="shared" si="4"/>
        <v>0</v>
      </c>
      <c r="R9" s="19">
        <f t="shared" si="5"/>
        <v>0</v>
      </c>
      <c r="S9" s="19">
        <f t="shared" si="6"/>
        <v>6.095709570957096</v>
      </c>
      <c r="T9" s="19">
        <f t="shared" si="7"/>
        <v>6.095709570957096</v>
      </c>
      <c r="U9" s="20">
        <f t="shared" si="8"/>
        <v>8956</v>
      </c>
      <c r="V9" s="19">
        <f t="shared" si="9"/>
        <v>0.08313394326730017</v>
      </c>
      <c r="W9" s="19">
        <f t="shared" si="10"/>
        <v>0</v>
      </c>
      <c r="X9" s="19">
        <f t="shared" si="11"/>
        <v>0</v>
      </c>
      <c r="Y9" s="19">
        <f t="shared" si="23"/>
        <v>0.08313394326730017</v>
      </c>
      <c r="Z9" s="19">
        <f t="shared" si="12"/>
        <v>6.095709570957096</v>
      </c>
      <c r="AA9" s="36">
        <f t="shared" si="13"/>
        <v>7388</v>
      </c>
      <c r="AB9" s="19">
        <f t="shared" si="14"/>
        <v>6.095709570957096</v>
      </c>
      <c r="AC9" s="19">
        <f t="shared" si="15"/>
        <v>0.006927828605608348</v>
      </c>
      <c r="AD9" s="19" t="e">
        <f t="shared" si="16"/>
        <v>#N/A</v>
      </c>
      <c r="AE9" s="19" t="e">
        <f t="shared" si="17"/>
        <v>#N/A</v>
      </c>
      <c r="AF9" s="19" t="e">
        <f t="shared" si="18"/>
        <v>#N/A</v>
      </c>
      <c r="AG9" s="21">
        <f t="shared" si="19"/>
        <v>0</v>
      </c>
      <c r="AH9" s="24"/>
      <c r="AI9" s="19"/>
      <c r="AJ9" s="38">
        <f t="shared" si="20"/>
      </c>
      <c r="AK9" s="19">
        <f t="shared" si="24"/>
        <v>0.027905755121690357</v>
      </c>
      <c r="AL9" s="19">
        <f t="shared" si="25"/>
        <v>0.07580732540683788</v>
      </c>
      <c r="AM9" s="19">
        <f t="shared" si="26"/>
        <v>0.05882062688700973</v>
      </c>
      <c r="AN9" s="19">
        <f t="shared" si="27"/>
        <v>0.07047683364487245</v>
      </c>
      <c r="AO9" s="19">
        <f t="shared" si="28"/>
        <v>0.02365393756284817</v>
      </c>
      <c r="AP9" s="19">
        <f t="shared" si="29"/>
        <v>0.0699216671452092</v>
      </c>
      <c r="AQ9" s="19">
        <f aca="true" t="shared" si="30" ref="AQ9:AQ21">(($D9)/$D3)^(365/($U3-$U9))-1</f>
        <v>0.01445627268559524</v>
      </c>
      <c r="AR9" s="19">
        <f>(($D9)/$D2)^(365/($U2-$U9))-1</f>
        <v>0.027905755121690357</v>
      </c>
    </row>
    <row r="10" spans="1:45" s="23" customFormat="1" ht="12.75">
      <c r="A10" s="42" t="s">
        <v>185</v>
      </c>
      <c r="B10" s="16">
        <f t="shared" si="21"/>
        <v>31765</v>
      </c>
      <c r="C10" s="23">
        <v>1</v>
      </c>
      <c r="D10" s="17">
        <v>1895</v>
      </c>
      <c r="E10" s="17" t="e">
        <f>VLOOKUP($A10,Stocks!$A$2:$Z$999,13,FALSE)</f>
        <v>#N/A</v>
      </c>
      <c r="F10" s="19" t="e">
        <f t="shared" si="0"/>
        <v>#N/A</v>
      </c>
      <c r="G10" s="17" t="e">
        <f>VLOOKUP($A10,Stocks!$A$2:$Z$999,14,FALSE)</f>
        <v>#N/A</v>
      </c>
      <c r="H10" s="43" t="e">
        <f t="shared" si="1"/>
        <v>#N/A</v>
      </c>
      <c r="I10" s="17" t="e">
        <f>VLOOKUP($A10,Stocks!$A$2:$Z$999,10,FALSE)</f>
        <v>#N/A</v>
      </c>
      <c r="J10" s="18" t="e">
        <f t="shared" si="2"/>
        <v>#N/A</v>
      </c>
      <c r="K10" s="17"/>
      <c r="L10" s="17"/>
      <c r="M10" s="19">
        <f t="shared" si="3"/>
        <v>0</v>
      </c>
      <c r="N10" s="16">
        <f ca="1" t="shared" si="22"/>
        <v>39990</v>
      </c>
      <c r="O10" s="17"/>
      <c r="P10" s="38">
        <v>8600</v>
      </c>
      <c r="Q10" s="19">
        <f t="shared" si="4"/>
        <v>0</v>
      </c>
      <c r="R10" s="19">
        <f t="shared" si="5"/>
        <v>0</v>
      </c>
      <c r="S10" s="19">
        <f t="shared" si="6"/>
        <v>3.538258575197889</v>
      </c>
      <c r="T10" s="19">
        <f t="shared" si="7"/>
        <v>3.538258575197889</v>
      </c>
      <c r="U10" s="20">
        <f t="shared" si="8"/>
        <v>8225</v>
      </c>
      <c r="V10" s="19">
        <f t="shared" si="9"/>
        <v>0.06942592433455586</v>
      </c>
      <c r="W10" s="19">
        <f t="shared" si="10"/>
        <v>0</v>
      </c>
      <c r="X10" s="19">
        <f t="shared" si="11"/>
        <v>0</v>
      </c>
      <c r="Y10" s="19">
        <f t="shared" si="23"/>
        <v>0.06942592433455586</v>
      </c>
      <c r="Z10" s="19">
        <f t="shared" si="12"/>
        <v>3.538258575197889</v>
      </c>
      <c r="AA10" s="36">
        <f t="shared" si="13"/>
        <v>6705</v>
      </c>
      <c r="AB10" s="19">
        <f t="shared" si="14"/>
        <v>3.538258575197889</v>
      </c>
      <c r="AC10" s="19">
        <f t="shared" si="15"/>
        <v>0.0057854936945463216</v>
      </c>
      <c r="AD10" s="19" t="e">
        <f t="shared" si="16"/>
        <v>#N/A</v>
      </c>
      <c r="AE10" s="19" t="e">
        <f t="shared" si="17"/>
        <v>#N/A</v>
      </c>
      <c r="AF10" s="19" t="e">
        <f t="shared" si="18"/>
        <v>#N/A</v>
      </c>
      <c r="AG10" s="21">
        <f t="shared" si="19"/>
        <v>0</v>
      </c>
      <c r="AH10" s="24"/>
      <c r="AI10" s="19"/>
      <c r="AJ10" s="38">
        <f t="shared" si="20"/>
      </c>
      <c r="AK10" s="19">
        <f t="shared" si="24"/>
        <v>0.05335364301515888</v>
      </c>
      <c r="AL10" s="19">
        <f t="shared" si="25"/>
        <v>0.25003026894234126</v>
      </c>
      <c r="AM10" s="19">
        <f t="shared" si="26"/>
        <v>0.15965155124651575</v>
      </c>
      <c r="AN10" s="19">
        <f t="shared" si="27"/>
        <v>0.11906446495188572</v>
      </c>
      <c r="AO10" s="19">
        <f t="shared" si="28"/>
        <v>0.1127896743896939</v>
      </c>
      <c r="AP10" s="19">
        <f t="shared" si="29"/>
        <v>0.06538513996221851</v>
      </c>
      <c r="AQ10" s="19">
        <f t="shared" si="30"/>
        <v>0.09802798018599468</v>
      </c>
      <c r="AR10" s="19">
        <f aca="true" t="shared" si="31" ref="AR10:AR21">(($D10)/$D3)^(365/($U3-$U10))-1</f>
        <v>0.04517411604251809</v>
      </c>
      <c r="AS10" s="19">
        <f>(($D10)/$D2)^(365/($U2-$U10))-1</f>
        <v>0.05335364301515888</v>
      </c>
    </row>
    <row r="11" spans="1:46" s="23" customFormat="1" ht="12.75">
      <c r="A11" s="42" t="s">
        <v>185</v>
      </c>
      <c r="B11" s="16">
        <f t="shared" si="21"/>
        <v>32496</v>
      </c>
      <c r="C11" s="23">
        <v>1</v>
      </c>
      <c r="D11" s="17">
        <v>2169</v>
      </c>
      <c r="E11" s="17" t="e">
        <f>VLOOKUP($A11,Stocks!$A$2:$Z$999,13,FALSE)</f>
        <v>#N/A</v>
      </c>
      <c r="F11" s="19" t="e">
        <f t="shared" si="0"/>
        <v>#N/A</v>
      </c>
      <c r="G11" s="17" t="e">
        <f>VLOOKUP($A11,Stocks!$A$2:$Z$999,14,FALSE)</f>
        <v>#N/A</v>
      </c>
      <c r="H11" s="43" t="e">
        <f t="shared" si="1"/>
        <v>#N/A</v>
      </c>
      <c r="I11" s="17" t="e">
        <f>VLOOKUP($A11,Stocks!$A$2:$Z$999,10,FALSE)</f>
        <v>#N/A</v>
      </c>
      <c r="J11" s="18" t="e">
        <f t="shared" si="2"/>
        <v>#N/A</v>
      </c>
      <c r="K11" s="17"/>
      <c r="L11" s="17"/>
      <c r="M11" s="19">
        <f t="shared" si="3"/>
        <v>0</v>
      </c>
      <c r="N11" s="16">
        <f ca="1" t="shared" si="22"/>
        <v>39990</v>
      </c>
      <c r="O11" s="17"/>
      <c r="P11" s="38">
        <v>8600</v>
      </c>
      <c r="Q11" s="19">
        <f t="shared" si="4"/>
        <v>0</v>
      </c>
      <c r="R11" s="19">
        <f t="shared" si="5"/>
        <v>0</v>
      </c>
      <c r="S11" s="19">
        <f t="shared" si="6"/>
        <v>2.9649608114338406</v>
      </c>
      <c r="T11" s="19">
        <f t="shared" si="7"/>
        <v>2.9649608114338406</v>
      </c>
      <c r="U11" s="20">
        <f t="shared" si="8"/>
        <v>7494</v>
      </c>
      <c r="V11" s="19">
        <f t="shared" si="9"/>
        <v>0.06939365547351928</v>
      </c>
      <c r="W11" s="19">
        <f t="shared" si="10"/>
        <v>0</v>
      </c>
      <c r="X11" s="19">
        <f t="shared" si="11"/>
        <v>0</v>
      </c>
      <c r="Y11" s="19">
        <f t="shared" si="23"/>
        <v>0.06939365547351928</v>
      </c>
      <c r="Z11" s="19">
        <f t="shared" si="12"/>
        <v>2.9649608114338406</v>
      </c>
      <c r="AA11" s="36">
        <f t="shared" si="13"/>
        <v>6431</v>
      </c>
      <c r="AB11" s="19">
        <f t="shared" si="14"/>
        <v>2.9649608114338406</v>
      </c>
      <c r="AC11" s="19">
        <f t="shared" si="15"/>
        <v>0.0057828046227932734</v>
      </c>
      <c r="AD11" s="19" t="e">
        <f t="shared" si="16"/>
        <v>#N/A</v>
      </c>
      <c r="AE11" s="19" t="e">
        <f t="shared" si="17"/>
        <v>#N/A</v>
      </c>
      <c r="AF11" s="19" t="e">
        <f t="shared" si="18"/>
        <v>#N/A</v>
      </c>
      <c r="AG11" s="21">
        <f t="shared" si="19"/>
        <v>0</v>
      </c>
      <c r="AH11" s="24"/>
      <c r="AI11" s="19"/>
      <c r="AJ11" s="38">
        <f t="shared" si="20"/>
      </c>
      <c r="AK11" s="19">
        <f t="shared" si="24"/>
        <v>0.055163723304268775</v>
      </c>
      <c r="AL11" s="19">
        <f t="shared" si="25"/>
        <v>0.06975679150309011</v>
      </c>
      <c r="AM11" s="19">
        <f t="shared" si="26"/>
        <v>0.1563859086764694</v>
      </c>
      <c r="AN11" s="19">
        <f t="shared" si="27"/>
        <v>0.12887717740778992</v>
      </c>
      <c r="AO11" s="19">
        <f t="shared" si="28"/>
        <v>0.10652846901836366</v>
      </c>
      <c r="AP11" s="19">
        <f t="shared" si="29"/>
        <v>0.10404679210128842</v>
      </c>
      <c r="AQ11" s="19">
        <f t="shared" si="30"/>
        <v>0.06611250594276297</v>
      </c>
      <c r="AR11" s="19">
        <f t="shared" si="31"/>
        <v>0.09394394968102171</v>
      </c>
      <c r="AS11" s="19">
        <f aca="true" t="shared" si="32" ref="AS11:AS21">(($D11)/$D3)^(365/($U3-$U11))-1</f>
        <v>0.04821578787272607</v>
      </c>
      <c r="AT11" s="19">
        <f>(($D11)/$D2)^(365/($U2-$U11))-1</f>
        <v>0.055163723304268775</v>
      </c>
    </row>
    <row r="12" spans="1:47" s="23" customFormat="1" ht="12.75">
      <c r="A12" s="42" t="s">
        <v>185</v>
      </c>
      <c r="B12" s="16">
        <f t="shared" si="21"/>
        <v>33227</v>
      </c>
      <c r="C12" s="23">
        <v>1</v>
      </c>
      <c r="D12" s="17">
        <v>2634</v>
      </c>
      <c r="E12" s="17" t="e">
        <f>VLOOKUP($A12,Stocks!$A$2:$Z$999,13,FALSE)</f>
        <v>#N/A</v>
      </c>
      <c r="F12" s="19" t="e">
        <f t="shared" si="0"/>
        <v>#N/A</v>
      </c>
      <c r="G12" s="17" t="e">
        <f>VLOOKUP($A12,Stocks!$A$2:$Z$999,14,FALSE)</f>
        <v>#N/A</v>
      </c>
      <c r="H12" s="43" t="e">
        <f t="shared" si="1"/>
        <v>#N/A</v>
      </c>
      <c r="I12" s="17" t="e">
        <f>VLOOKUP($A12,Stocks!$A$2:$Z$999,10,FALSE)</f>
        <v>#N/A</v>
      </c>
      <c r="J12" s="18" t="e">
        <f t="shared" si="2"/>
        <v>#N/A</v>
      </c>
      <c r="K12" s="17"/>
      <c r="L12" s="17"/>
      <c r="M12" s="19">
        <f t="shared" si="3"/>
        <v>0</v>
      </c>
      <c r="N12" s="16">
        <f ca="1" t="shared" si="22"/>
        <v>39990</v>
      </c>
      <c r="O12" s="17"/>
      <c r="P12" s="38">
        <v>8600</v>
      </c>
      <c r="Q12" s="19">
        <f t="shared" si="4"/>
        <v>0</v>
      </c>
      <c r="R12" s="19">
        <f t="shared" si="5"/>
        <v>0</v>
      </c>
      <c r="S12" s="19">
        <f t="shared" si="6"/>
        <v>2.2649962034927866</v>
      </c>
      <c r="T12" s="19">
        <f t="shared" si="7"/>
        <v>2.2649962034927866</v>
      </c>
      <c r="U12" s="20">
        <f t="shared" si="8"/>
        <v>6763</v>
      </c>
      <c r="V12" s="19">
        <f t="shared" si="9"/>
        <v>0.06594381966668106</v>
      </c>
      <c r="W12" s="19">
        <f t="shared" si="10"/>
        <v>0</v>
      </c>
      <c r="X12" s="19">
        <f t="shared" si="11"/>
        <v>0</v>
      </c>
      <c r="Y12" s="19">
        <f t="shared" si="23"/>
        <v>0.06594381966668106</v>
      </c>
      <c r="Z12" s="19">
        <f t="shared" si="12"/>
        <v>2.2649962034927866</v>
      </c>
      <c r="AA12" s="36">
        <f t="shared" si="13"/>
        <v>5966</v>
      </c>
      <c r="AB12" s="19">
        <f t="shared" si="14"/>
        <v>2.2649962034927866</v>
      </c>
      <c r="AC12" s="19">
        <f t="shared" si="15"/>
        <v>0.005495318305556755</v>
      </c>
      <c r="AD12" s="19" t="e">
        <f t="shared" si="16"/>
        <v>#N/A</v>
      </c>
      <c r="AE12" s="19" t="e">
        <f t="shared" si="17"/>
        <v>#N/A</v>
      </c>
      <c r="AF12" s="19" t="e">
        <f t="shared" si="18"/>
        <v>#N/A</v>
      </c>
      <c r="AG12" s="21">
        <f t="shared" si="19"/>
        <v>0</v>
      </c>
      <c r="AH12" s="24"/>
      <c r="AI12" s="19"/>
      <c r="AJ12" s="38">
        <f t="shared" si="20"/>
      </c>
      <c r="AK12" s="19">
        <f t="shared" si="24"/>
        <v>0.0597414162310872</v>
      </c>
      <c r="AL12" s="19">
        <f t="shared" si="25"/>
        <v>0.10184475865009568</v>
      </c>
      <c r="AM12" s="19">
        <f t="shared" si="26"/>
        <v>0.08568223424168786</v>
      </c>
      <c r="AN12" s="19">
        <f t="shared" si="27"/>
        <v>0.13791196487221669</v>
      </c>
      <c r="AO12" s="19">
        <f t="shared" si="28"/>
        <v>0.12205752397065472</v>
      </c>
      <c r="AP12" s="19">
        <f t="shared" si="29"/>
        <v>0.1055901368891572</v>
      </c>
      <c r="AQ12" s="19">
        <f t="shared" si="30"/>
        <v>0.10367948115520642</v>
      </c>
      <c r="AR12" s="19">
        <f t="shared" si="31"/>
        <v>0.07114527584464625</v>
      </c>
      <c r="AS12" s="19">
        <f t="shared" si="32"/>
        <v>0.09492844422984237</v>
      </c>
      <c r="AT12" s="19">
        <f aca="true" t="shared" si="33" ref="AT12:AT21">(($D12)/$D3)^(365/($U3-$U12))-1</f>
        <v>0.054043277035049186</v>
      </c>
      <c r="AU12" s="19">
        <f>(($D12)/$D2)^(365/($U2-$U12))-1</f>
        <v>0.0597414162310872</v>
      </c>
    </row>
    <row r="13" spans="1:48" s="23" customFormat="1" ht="12.75">
      <c r="A13" s="42" t="s">
        <v>185</v>
      </c>
      <c r="B13" s="16">
        <f t="shared" si="21"/>
        <v>33958</v>
      </c>
      <c r="C13" s="23">
        <v>1</v>
      </c>
      <c r="D13" s="17">
        <v>3301</v>
      </c>
      <c r="E13" s="17" t="e">
        <f>VLOOKUP($A13,Stocks!$A$2:$Z$999,13,FALSE)</f>
        <v>#N/A</v>
      </c>
      <c r="F13" s="19" t="e">
        <f t="shared" si="0"/>
        <v>#N/A</v>
      </c>
      <c r="G13" s="17" t="e">
        <f>VLOOKUP($A13,Stocks!$A$2:$Z$999,14,FALSE)</f>
        <v>#N/A</v>
      </c>
      <c r="H13" s="43" t="e">
        <f t="shared" si="1"/>
        <v>#N/A</v>
      </c>
      <c r="I13" s="17" t="e">
        <f>VLOOKUP($A13,Stocks!$A$2:$Z$999,10,FALSE)</f>
        <v>#N/A</v>
      </c>
      <c r="J13" s="18" t="e">
        <f t="shared" si="2"/>
        <v>#N/A</v>
      </c>
      <c r="K13" s="17"/>
      <c r="L13" s="17"/>
      <c r="M13" s="19">
        <f t="shared" si="3"/>
        <v>0</v>
      </c>
      <c r="N13" s="16">
        <f ca="1" t="shared" si="22"/>
        <v>39990</v>
      </c>
      <c r="O13" s="17"/>
      <c r="P13" s="38">
        <v>8600</v>
      </c>
      <c r="Q13" s="19">
        <f t="shared" si="4"/>
        <v>0</v>
      </c>
      <c r="R13" s="19">
        <f t="shared" si="5"/>
        <v>0</v>
      </c>
      <c r="S13" s="19">
        <f t="shared" si="6"/>
        <v>1.605271129960618</v>
      </c>
      <c r="T13" s="19">
        <f t="shared" si="7"/>
        <v>1.605271129960618</v>
      </c>
      <c r="U13" s="20">
        <f t="shared" si="8"/>
        <v>6032</v>
      </c>
      <c r="V13" s="19">
        <f t="shared" si="9"/>
        <v>0.05965261523974141</v>
      </c>
      <c r="W13" s="19">
        <f t="shared" si="10"/>
        <v>0</v>
      </c>
      <c r="X13" s="19">
        <f t="shared" si="11"/>
        <v>0</v>
      </c>
      <c r="Y13" s="19">
        <f t="shared" si="23"/>
        <v>0.05965261523974141</v>
      </c>
      <c r="Z13" s="19">
        <f t="shared" si="12"/>
        <v>1.605271129960618</v>
      </c>
      <c r="AA13" s="36">
        <f t="shared" si="13"/>
        <v>5299</v>
      </c>
      <c r="AB13" s="19">
        <f t="shared" si="14"/>
        <v>1.605271129960618</v>
      </c>
      <c r="AC13" s="19">
        <f t="shared" si="15"/>
        <v>0.004971051269978451</v>
      </c>
      <c r="AD13" s="19" t="e">
        <f t="shared" si="16"/>
        <v>#N/A</v>
      </c>
      <c r="AE13" s="19" t="e">
        <f t="shared" si="17"/>
        <v>#N/A</v>
      </c>
      <c r="AF13" s="19" t="e">
        <f t="shared" si="18"/>
        <v>#N/A</v>
      </c>
      <c r="AG13" s="21">
        <f t="shared" si="19"/>
        <v>0</v>
      </c>
      <c r="AH13" s="24"/>
      <c r="AI13" s="19"/>
      <c r="AJ13" s="38">
        <f t="shared" si="20"/>
      </c>
      <c r="AK13" s="19">
        <f t="shared" si="24"/>
        <v>0.06502256425969644</v>
      </c>
      <c r="AL13" s="19">
        <f t="shared" si="25"/>
        <v>0.11930340530971373</v>
      </c>
      <c r="AM13" s="19">
        <f t="shared" si="26"/>
        <v>0.11053977437987861</v>
      </c>
      <c r="AN13" s="19">
        <f t="shared" si="27"/>
        <v>0.09677555548249939</v>
      </c>
      <c r="AO13" s="19">
        <f t="shared" si="28"/>
        <v>0.13323102062979086</v>
      </c>
      <c r="AP13" s="19">
        <f t="shared" si="29"/>
        <v>0.12150615863631442</v>
      </c>
      <c r="AQ13" s="19">
        <f t="shared" si="30"/>
        <v>0.10786395833077389</v>
      </c>
      <c r="AR13" s="19">
        <f t="shared" si="31"/>
        <v>0.10589804643599954</v>
      </c>
      <c r="AS13" s="19">
        <f t="shared" si="32"/>
        <v>0.07704985791561691</v>
      </c>
      <c r="AT13" s="19">
        <f t="shared" si="33"/>
        <v>0.09761034645844235</v>
      </c>
      <c r="AU13" s="19">
        <f aca="true" t="shared" si="34" ref="AU13:AU21">(($D13)/$D3)^(365/($U3-$U13))-1</f>
        <v>0.06039429078717906</v>
      </c>
      <c r="AV13" s="19">
        <f aca="true" t="shared" si="35" ref="AV13:AV21">(($D13)/$D2)^(365/($U2-$U13))-1</f>
        <v>0.06502256425969644</v>
      </c>
    </row>
    <row r="14" spans="1:49" s="23" customFormat="1" ht="12.75">
      <c r="A14" s="42" t="s">
        <v>185</v>
      </c>
      <c r="B14" s="16">
        <f t="shared" si="21"/>
        <v>34689</v>
      </c>
      <c r="C14" s="23">
        <v>1</v>
      </c>
      <c r="D14" s="17">
        <v>3834</v>
      </c>
      <c r="E14" s="17" t="e">
        <f>VLOOKUP($A14,Stocks!$A$2:$Z$999,13,FALSE)</f>
        <v>#N/A</v>
      </c>
      <c r="F14" s="19" t="e">
        <f t="shared" si="0"/>
        <v>#N/A</v>
      </c>
      <c r="G14" s="17" t="e">
        <f>VLOOKUP($A14,Stocks!$A$2:$Z$999,14,FALSE)</f>
        <v>#N/A</v>
      </c>
      <c r="H14" s="43" t="e">
        <f t="shared" si="1"/>
        <v>#N/A</v>
      </c>
      <c r="I14" s="17" t="e">
        <f>VLOOKUP($A14,Stocks!$A$2:$Z$999,10,FALSE)</f>
        <v>#N/A</v>
      </c>
      <c r="J14" s="18" t="e">
        <f t="shared" si="2"/>
        <v>#N/A</v>
      </c>
      <c r="K14" s="17"/>
      <c r="L14" s="17"/>
      <c r="M14" s="19">
        <f t="shared" si="3"/>
        <v>0</v>
      </c>
      <c r="N14" s="16">
        <f ca="1" t="shared" si="22"/>
        <v>39990</v>
      </c>
      <c r="O14" s="17"/>
      <c r="P14" s="38">
        <v>8600</v>
      </c>
      <c r="Q14" s="19">
        <f t="shared" si="4"/>
        <v>0</v>
      </c>
      <c r="R14" s="19">
        <f t="shared" si="5"/>
        <v>0</v>
      </c>
      <c r="S14" s="19">
        <f t="shared" si="6"/>
        <v>1.2430881585811164</v>
      </c>
      <c r="T14" s="19">
        <f t="shared" si="7"/>
        <v>1.2430881585811164</v>
      </c>
      <c r="U14" s="20">
        <f t="shared" si="8"/>
        <v>5301</v>
      </c>
      <c r="V14" s="19">
        <f t="shared" si="9"/>
        <v>0.05720084463034625</v>
      </c>
      <c r="W14" s="19">
        <f t="shared" si="10"/>
        <v>0</v>
      </c>
      <c r="X14" s="19">
        <f t="shared" si="11"/>
        <v>0</v>
      </c>
      <c r="Y14" s="19">
        <f t="shared" si="23"/>
        <v>0.05720084463034625</v>
      </c>
      <c r="Z14" s="19">
        <f t="shared" si="12"/>
        <v>1.2430881585811164</v>
      </c>
      <c r="AA14" s="36">
        <f t="shared" si="13"/>
        <v>4766</v>
      </c>
      <c r="AB14" s="19">
        <f t="shared" si="14"/>
        <v>1.2430881585811164</v>
      </c>
      <c r="AC14" s="19">
        <f t="shared" si="15"/>
        <v>0.004766737052528854</v>
      </c>
      <c r="AD14" s="19" t="e">
        <f t="shared" si="16"/>
        <v>#N/A</v>
      </c>
      <c r="AE14" s="19" t="e">
        <f t="shared" si="17"/>
        <v>#N/A</v>
      </c>
      <c r="AF14" s="19" t="e">
        <f t="shared" si="18"/>
        <v>#N/A</v>
      </c>
      <c r="AG14" s="21">
        <f t="shared" si="19"/>
        <v>0</v>
      </c>
      <c r="AH14" s="24"/>
      <c r="AI14" s="19"/>
      <c r="AJ14" s="38">
        <f t="shared" si="20"/>
      </c>
      <c r="AK14" s="19">
        <f t="shared" si="24"/>
        <v>0.06606530790148901</v>
      </c>
      <c r="AL14" s="19">
        <f t="shared" si="25"/>
        <v>0.07760308978329133</v>
      </c>
      <c r="AM14" s="19">
        <f t="shared" si="26"/>
        <v>0.09825534734264196</v>
      </c>
      <c r="AN14" s="19">
        <f t="shared" si="27"/>
        <v>0.09945051667131066</v>
      </c>
      <c r="AO14" s="19">
        <f t="shared" si="28"/>
        <v>0.09195069452372273</v>
      </c>
      <c r="AP14" s="19">
        <f t="shared" si="29"/>
        <v>0.12188031809849753</v>
      </c>
      <c r="AQ14" s="19">
        <f t="shared" si="30"/>
        <v>0.1140666927789582</v>
      </c>
      <c r="AR14" s="19">
        <f t="shared" si="31"/>
        <v>0.10348949841426403</v>
      </c>
      <c r="AS14" s="19">
        <f t="shared" si="32"/>
        <v>0.10232094138170722</v>
      </c>
      <c r="AT14" s="19">
        <f t="shared" si="33"/>
        <v>0.07711131409457561</v>
      </c>
      <c r="AU14" s="19">
        <f t="shared" si="34"/>
        <v>0.09559301762896522</v>
      </c>
      <c r="AV14" s="19">
        <f t="shared" si="35"/>
        <v>0.0619473045175154</v>
      </c>
      <c r="AW14" s="19">
        <f>(($D14)/$D2)^(365/($U2-$U14))-1</f>
        <v>0.06606530790148901</v>
      </c>
    </row>
    <row r="15" spans="1:50" s="23" customFormat="1" ht="12.75">
      <c r="A15" s="42" t="s">
        <v>185</v>
      </c>
      <c r="B15" s="16">
        <f t="shared" si="21"/>
        <v>35420</v>
      </c>
      <c r="C15" s="23">
        <v>1</v>
      </c>
      <c r="D15" s="17">
        <v>6448</v>
      </c>
      <c r="E15" s="17" t="e">
        <f>VLOOKUP($A15,Stocks!$A$2:$Z$999,13,FALSE)</f>
        <v>#N/A</v>
      </c>
      <c r="F15" s="19" t="e">
        <f t="shared" si="0"/>
        <v>#N/A</v>
      </c>
      <c r="G15" s="17" t="e">
        <f>VLOOKUP($A15,Stocks!$A$2:$Z$999,14,FALSE)</f>
        <v>#N/A</v>
      </c>
      <c r="H15" s="43" t="e">
        <f t="shared" si="1"/>
        <v>#N/A</v>
      </c>
      <c r="I15" s="17" t="e">
        <f>VLOOKUP($A15,Stocks!$A$2:$Z$999,10,FALSE)</f>
        <v>#N/A</v>
      </c>
      <c r="J15" s="18" t="e">
        <f t="shared" si="2"/>
        <v>#N/A</v>
      </c>
      <c r="K15" s="17"/>
      <c r="L15" s="17"/>
      <c r="M15" s="19">
        <f t="shared" si="3"/>
        <v>0</v>
      </c>
      <c r="N15" s="16">
        <f ca="1" t="shared" si="22"/>
        <v>39990</v>
      </c>
      <c r="O15" s="17"/>
      <c r="P15" s="38">
        <v>8600</v>
      </c>
      <c r="Q15" s="19">
        <f t="shared" si="4"/>
        <v>0</v>
      </c>
      <c r="R15" s="19">
        <f t="shared" si="5"/>
        <v>0</v>
      </c>
      <c r="S15" s="19">
        <f t="shared" si="6"/>
        <v>0.3337468982630273</v>
      </c>
      <c r="T15" s="19">
        <f t="shared" si="7"/>
        <v>0.3337468982630273</v>
      </c>
      <c r="U15" s="20">
        <f t="shared" si="8"/>
        <v>4570</v>
      </c>
      <c r="V15" s="19">
        <f t="shared" si="9"/>
        <v>0.023268141014371135</v>
      </c>
      <c r="W15" s="19">
        <f t="shared" si="10"/>
        <v>0</v>
      </c>
      <c r="X15" s="19">
        <f t="shared" si="11"/>
        <v>0</v>
      </c>
      <c r="Y15" s="19">
        <f t="shared" si="23"/>
        <v>0.023268141014371135</v>
      </c>
      <c r="Z15" s="19">
        <f t="shared" si="12"/>
        <v>0.3337468982630273</v>
      </c>
      <c r="AA15" s="36">
        <f t="shared" si="13"/>
        <v>2152</v>
      </c>
      <c r="AB15" s="19">
        <f t="shared" si="14"/>
        <v>0.3337468982630273</v>
      </c>
      <c r="AC15" s="19">
        <f t="shared" si="15"/>
        <v>0.0019390117511975946</v>
      </c>
      <c r="AD15" s="19" t="e">
        <f t="shared" si="16"/>
        <v>#N/A</v>
      </c>
      <c r="AE15" s="19" t="e">
        <f t="shared" si="17"/>
        <v>#N/A</v>
      </c>
      <c r="AF15" s="19" t="e">
        <f t="shared" si="18"/>
        <v>#N/A</v>
      </c>
      <c r="AG15" s="21">
        <f t="shared" si="19"/>
        <v>0</v>
      </c>
      <c r="AH15" s="24"/>
      <c r="AI15" s="19"/>
      <c r="AJ15" s="38">
        <f t="shared" si="20"/>
      </c>
      <c r="AK15" s="19">
        <f t="shared" si="24"/>
        <v>0.08222681198696491</v>
      </c>
      <c r="AL15" s="19">
        <f t="shared" si="25"/>
        <v>0.2963791354904195</v>
      </c>
      <c r="AM15" s="19">
        <f t="shared" si="26"/>
        <v>0.18193999929567828</v>
      </c>
      <c r="AN15" s="19">
        <f t="shared" si="27"/>
        <v>0.16068105344662564</v>
      </c>
      <c r="AO15" s="19">
        <f t="shared" si="28"/>
        <v>0.14568380461119235</v>
      </c>
      <c r="AP15" s="19">
        <f t="shared" si="29"/>
        <v>0.13007906511803857</v>
      </c>
      <c r="AQ15" s="19">
        <f t="shared" si="30"/>
        <v>0.1492401220447379</v>
      </c>
      <c r="AR15" s="19">
        <f t="shared" si="31"/>
        <v>0.1384505410007908</v>
      </c>
      <c r="AS15" s="19">
        <f t="shared" si="32"/>
        <v>0.12593594235886996</v>
      </c>
      <c r="AT15" s="19">
        <f t="shared" si="33"/>
        <v>0.12236197364957535</v>
      </c>
      <c r="AU15" s="19">
        <f t="shared" si="34"/>
        <v>0.09725541372970903</v>
      </c>
      <c r="AV15" s="19">
        <f t="shared" si="35"/>
        <v>0.1124823887752997</v>
      </c>
      <c r="AW15" s="19">
        <f aca="true" t="shared" si="36" ref="AW15:AW21">(($D15)/$D3)^(365/($U3-$U15))-1</f>
        <v>0.0797471234646765</v>
      </c>
      <c r="AX15" s="19">
        <f>(($D15)/$D2)^(365/($U2-$U15))-1</f>
        <v>0.08222681198696491</v>
      </c>
    </row>
    <row r="16" spans="1:51" s="23" customFormat="1" ht="12.75">
      <c r="A16" s="42" t="s">
        <v>185</v>
      </c>
      <c r="B16" s="16">
        <f t="shared" si="21"/>
        <v>36151</v>
      </c>
      <c r="C16" s="23">
        <v>1</v>
      </c>
      <c r="D16" s="17">
        <v>9181</v>
      </c>
      <c r="E16" s="17" t="e">
        <f>VLOOKUP($A16,Stocks!$A$2:$Z$999,13,FALSE)</f>
        <v>#N/A</v>
      </c>
      <c r="F16" s="19" t="e">
        <f t="shared" si="0"/>
        <v>#N/A</v>
      </c>
      <c r="G16" s="17" t="e">
        <f>VLOOKUP($A16,Stocks!$A$2:$Z$999,14,FALSE)</f>
        <v>#N/A</v>
      </c>
      <c r="H16" s="43" t="e">
        <f t="shared" si="1"/>
        <v>#N/A</v>
      </c>
      <c r="I16" s="17" t="e">
        <f>VLOOKUP($A16,Stocks!$A$2:$Z$999,10,FALSE)</f>
        <v>#N/A</v>
      </c>
      <c r="J16" s="18" t="e">
        <f t="shared" si="2"/>
        <v>#N/A</v>
      </c>
      <c r="K16" s="17"/>
      <c r="L16" s="17"/>
      <c r="M16" s="19">
        <f t="shared" si="3"/>
        <v>0</v>
      </c>
      <c r="N16" s="16">
        <f ca="1" t="shared" si="22"/>
        <v>39990</v>
      </c>
      <c r="O16" s="17"/>
      <c r="P16" s="38">
        <v>8600</v>
      </c>
      <c r="Q16" s="19">
        <f t="shared" si="4"/>
        <v>0</v>
      </c>
      <c r="R16" s="19">
        <f t="shared" si="5"/>
        <v>-0.06328286679011001</v>
      </c>
      <c r="S16" s="19">
        <f t="shared" si="6"/>
        <v>-0.06328286679011001</v>
      </c>
      <c r="T16" s="19">
        <f t="shared" si="7"/>
        <v>-0.06328286679011001</v>
      </c>
      <c r="U16" s="20">
        <f t="shared" si="8"/>
        <v>3839</v>
      </c>
      <c r="V16" s="19">
        <f t="shared" si="9"/>
        <v>-0.006196270123271175</v>
      </c>
      <c r="W16" s="19">
        <f t="shared" si="10"/>
        <v>0</v>
      </c>
      <c r="X16" s="19">
        <f t="shared" si="11"/>
        <v>0</v>
      </c>
      <c r="Y16" s="19">
        <f t="shared" si="23"/>
        <v>-0.006196270123271175</v>
      </c>
      <c r="Z16" s="19">
        <f t="shared" si="12"/>
        <v>0</v>
      </c>
      <c r="AA16" s="36">
        <f t="shared" si="13"/>
        <v>-581</v>
      </c>
      <c r="AB16" s="19">
        <f t="shared" si="14"/>
        <v>-0.06328286679011001</v>
      </c>
      <c r="AC16" s="19">
        <f t="shared" si="15"/>
        <v>-0.0005163558436059312</v>
      </c>
      <c r="AD16" s="19" t="e">
        <f t="shared" si="16"/>
        <v>#N/A</v>
      </c>
      <c r="AE16" s="19" t="str">
        <f t="shared" si="17"/>
        <v>low</v>
      </c>
      <c r="AF16" s="19" t="e">
        <f t="shared" si="18"/>
        <v>#N/A</v>
      </c>
      <c r="AG16" s="21">
        <f t="shared" si="19"/>
        <v>0</v>
      </c>
      <c r="AH16" s="24"/>
      <c r="AI16" s="19"/>
      <c r="AJ16" s="38">
        <f t="shared" si="20"/>
      </c>
      <c r="AK16" s="19">
        <f t="shared" si="24"/>
        <v>0.08978387231628537</v>
      </c>
      <c r="AL16" s="19">
        <f t="shared" si="25"/>
        <v>0.19296447223300395</v>
      </c>
      <c r="AM16" s="19">
        <f t="shared" si="26"/>
        <v>0.24359730266039348</v>
      </c>
      <c r="AN16" s="19">
        <f t="shared" si="27"/>
        <v>0.18560345688250135</v>
      </c>
      <c r="AO16" s="19">
        <f t="shared" si="28"/>
        <v>0.16866906675399918</v>
      </c>
      <c r="AP16" s="19">
        <f t="shared" si="29"/>
        <v>0.15498759875622836</v>
      </c>
      <c r="AQ16" s="19">
        <f t="shared" si="30"/>
        <v>0.14032490545645682</v>
      </c>
      <c r="AR16" s="19">
        <f t="shared" si="31"/>
        <v>0.15538694325150315</v>
      </c>
      <c r="AS16" s="19">
        <f t="shared" si="32"/>
        <v>0.1451261587192425</v>
      </c>
      <c r="AT16" s="19">
        <f t="shared" si="33"/>
        <v>0.1331935873718315</v>
      </c>
      <c r="AU16" s="19">
        <f t="shared" si="34"/>
        <v>0.12922998247637052</v>
      </c>
      <c r="AV16" s="19">
        <f t="shared" si="35"/>
        <v>0.10562927697220847</v>
      </c>
      <c r="AW16" s="19">
        <f t="shared" si="36"/>
        <v>0.11897660953843836</v>
      </c>
      <c r="AX16" s="19">
        <f aca="true" t="shared" si="37" ref="AX16:AX21">(($D16)/$D3)^(365/($U3-$U16))-1</f>
        <v>0.08806100153486263</v>
      </c>
      <c r="AY16" s="19">
        <f aca="true" t="shared" si="38" ref="AY16:AY21">(($D16)/$D2)^(365/($U2-$U16))-1</f>
        <v>0.08978387231628537</v>
      </c>
    </row>
    <row r="17" spans="1:51" s="23" customFormat="1" ht="12.75">
      <c r="A17" s="42" t="s">
        <v>185</v>
      </c>
      <c r="B17" s="16">
        <f t="shared" si="21"/>
        <v>36882</v>
      </c>
      <c r="C17" s="23">
        <v>1</v>
      </c>
      <c r="D17" s="17">
        <v>10786</v>
      </c>
      <c r="E17" s="17" t="e">
        <f>VLOOKUP($A17,Stocks!$A$2:$Z$999,13,FALSE)</f>
        <v>#N/A</v>
      </c>
      <c r="F17" s="19" t="e">
        <f t="shared" si="0"/>
        <v>#N/A</v>
      </c>
      <c r="G17" s="17" t="e">
        <f>VLOOKUP($A17,Stocks!$A$2:$Z$999,14,FALSE)</f>
        <v>#N/A</v>
      </c>
      <c r="H17" s="43" t="e">
        <f t="shared" si="1"/>
        <v>#N/A</v>
      </c>
      <c r="I17" s="17" t="e">
        <f>VLOOKUP($A17,Stocks!$A$2:$Z$999,10,FALSE)</f>
        <v>#N/A</v>
      </c>
      <c r="J17" s="18" t="e">
        <f t="shared" si="2"/>
        <v>#N/A</v>
      </c>
      <c r="K17" s="17"/>
      <c r="L17" s="17"/>
      <c r="M17" s="19">
        <f t="shared" si="3"/>
        <v>0</v>
      </c>
      <c r="N17" s="16">
        <f ca="1" t="shared" si="22"/>
        <v>39990</v>
      </c>
      <c r="O17" s="17"/>
      <c r="P17" s="38">
        <v>8600</v>
      </c>
      <c r="Q17" s="19">
        <f t="shared" si="4"/>
        <v>0</v>
      </c>
      <c r="R17" s="19">
        <f t="shared" si="5"/>
        <v>-0.20267012794363062</v>
      </c>
      <c r="S17" s="19">
        <f t="shared" si="6"/>
        <v>-0.20267012794363062</v>
      </c>
      <c r="T17" s="19">
        <f t="shared" si="7"/>
        <v>-0.20267012794363062</v>
      </c>
      <c r="U17" s="20">
        <f t="shared" si="8"/>
        <v>3108</v>
      </c>
      <c r="V17" s="19">
        <f t="shared" si="9"/>
        <v>-0.02624773188003615</v>
      </c>
      <c r="W17" s="19">
        <f t="shared" si="10"/>
        <v>0</v>
      </c>
      <c r="X17" s="19">
        <f t="shared" si="11"/>
        <v>0</v>
      </c>
      <c r="Y17" s="19">
        <f t="shared" si="23"/>
        <v>-0.02624773188003615</v>
      </c>
      <c r="Z17" s="19">
        <f t="shared" si="12"/>
        <v>0</v>
      </c>
      <c r="AA17" s="36">
        <f t="shared" si="13"/>
        <v>-2186</v>
      </c>
      <c r="AB17" s="19">
        <f t="shared" si="14"/>
        <v>-0.20267012794363062</v>
      </c>
      <c r="AC17" s="19">
        <f t="shared" si="15"/>
        <v>-0.0021873109900030128</v>
      </c>
      <c r="AD17" s="19" t="e">
        <f t="shared" si="16"/>
        <v>#N/A</v>
      </c>
      <c r="AE17" s="19" t="str">
        <f t="shared" si="17"/>
        <v>low</v>
      </c>
      <c r="AF17" s="19" t="e">
        <f t="shared" si="18"/>
        <v>#N/A</v>
      </c>
      <c r="AG17" s="21">
        <f t="shared" si="19"/>
        <v>0</v>
      </c>
      <c r="AH17" s="24"/>
      <c r="AI17" s="19"/>
      <c r="AJ17" s="38">
        <f t="shared" si="20"/>
      </c>
      <c r="AK17" s="19">
        <f t="shared" si="24"/>
        <v>0.08938194975551261</v>
      </c>
      <c r="AL17" s="19">
        <f t="shared" si="25"/>
        <v>0.08377057350439077</v>
      </c>
      <c r="AM17" s="19">
        <f t="shared" si="26"/>
        <v>0.13705751404329836</v>
      </c>
      <c r="AN17" s="19">
        <f t="shared" si="27"/>
        <v>0.187861024082149</v>
      </c>
      <c r="AO17" s="19">
        <f t="shared" si="28"/>
        <v>0.15928156948494698</v>
      </c>
      <c r="AP17" s="19">
        <f t="shared" si="29"/>
        <v>0.15117330529542516</v>
      </c>
      <c r="AQ17" s="19">
        <f t="shared" si="30"/>
        <v>0.14280112734492478</v>
      </c>
      <c r="AR17" s="19">
        <f t="shared" si="31"/>
        <v>0.13206852585225737</v>
      </c>
      <c r="AS17" s="19">
        <f t="shared" si="32"/>
        <v>0.14618228750261708</v>
      </c>
      <c r="AT17" s="19">
        <f t="shared" si="33"/>
        <v>0.13814083204264094</v>
      </c>
      <c r="AU17" s="19">
        <f t="shared" si="34"/>
        <v>0.12815152004715769</v>
      </c>
      <c r="AV17" s="19">
        <f t="shared" si="35"/>
        <v>0.1250196907827148</v>
      </c>
      <c r="AW17" s="19">
        <f t="shared" si="36"/>
        <v>0.10379100090004023</v>
      </c>
      <c r="AX17" s="19">
        <f t="shared" si="37"/>
        <v>0.11622831526268129</v>
      </c>
      <c r="AY17" s="19">
        <f t="shared" si="38"/>
        <v>0.0877539799086875</v>
      </c>
    </row>
    <row r="18" spans="1:51" s="23" customFormat="1" ht="12.75">
      <c r="A18" s="42" t="s">
        <v>185</v>
      </c>
      <c r="B18" s="16">
        <f t="shared" si="21"/>
        <v>37613</v>
      </c>
      <c r="C18" s="23">
        <v>1</v>
      </c>
      <c r="D18" s="17">
        <v>8341</v>
      </c>
      <c r="E18" s="17" t="e">
        <f>VLOOKUP($A18,Stocks!$A$2:$Z$999,13,FALSE)</f>
        <v>#N/A</v>
      </c>
      <c r="F18" s="19" t="e">
        <f t="shared" si="0"/>
        <v>#N/A</v>
      </c>
      <c r="G18" s="17" t="e">
        <f>VLOOKUP($A18,Stocks!$A$2:$Z$999,14,FALSE)</f>
        <v>#N/A</v>
      </c>
      <c r="H18" s="43" t="e">
        <f t="shared" si="1"/>
        <v>#N/A</v>
      </c>
      <c r="I18" s="17" t="e">
        <f>VLOOKUP($A18,Stocks!$A$2:$Z$999,10,FALSE)</f>
        <v>#N/A</v>
      </c>
      <c r="J18" s="18" t="e">
        <f t="shared" si="2"/>
        <v>#N/A</v>
      </c>
      <c r="K18" s="17"/>
      <c r="L18" s="17"/>
      <c r="M18" s="19">
        <f t="shared" si="3"/>
        <v>0</v>
      </c>
      <c r="N18" s="16">
        <f ca="1" t="shared" si="22"/>
        <v>39990</v>
      </c>
      <c r="O18" s="17"/>
      <c r="P18" s="38">
        <v>8600</v>
      </c>
      <c r="Q18" s="19">
        <f t="shared" si="4"/>
        <v>0</v>
      </c>
      <c r="R18" s="19">
        <f t="shared" si="5"/>
        <v>0</v>
      </c>
      <c r="S18" s="19">
        <f t="shared" si="6"/>
        <v>0.031051432681932622</v>
      </c>
      <c r="T18" s="19">
        <f t="shared" si="7"/>
        <v>0.031051432681932622</v>
      </c>
      <c r="U18" s="20">
        <f t="shared" si="8"/>
        <v>2377</v>
      </c>
      <c r="V18" s="19">
        <f t="shared" si="9"/>
        <v>0.004706610601771022</v>
      </c>
      <c r="W18" s="19">
        <f t="shared" si="10"/>
        <v>0</v>
      </c>
      <c r="X18" s="19">
        <f t="shared" si="11"/>
        <v>0</v>
      </c>
      <c r="Y18" s="19">
        <f t="shared" si="23"/>
        <v>0.004706610601771022</v>
      </c>
      <c r="Z18" s="19">
        <f t="shared" si="12"/>
        <v>0.031051432681932622</v>
      </c>
      <c r="AA18" s="36">
        <f t="shared" si="13"/>
        <v>259</v>
      </c>
      <c r="AB18" s="19">
        <f t="shared" si="14"/>
        <v>0.031051432681932622</v>
      </c>
      <c r="AC18" s="19">
        <f t="shared" si="15"/>
        <v>0.00039221755014758514</v>
      </c>
      <c r="AD18" s="19" t="e">
        <f t="shared" si="16"/>
        <v>#N/A</v>
      </c>
      <c r="AE18" s="19" t="str">
        <f t="shared" si="17"/>
        <v>low</v>
      </c>
      <c r="AF18" s="19" t="e">
        <f t="shared" si="18"/>
        <v>#N/A</v>
      </c>
      <c r="AG18" s="21">
        <f t="shared" si="19"/>
        <v>0</v>
      </c>
      <c r="AH18" s="24"/>
      <c r="AI18" s="19"/>
      <c r="AJ18" s="38">
        <f t="shared" si="20"/>
      </c>
      <c r="AK18" s="19">
        <f t="shared" si="24"/>
        <v>0.07491064819114235</v>
      </c>
      <c r="AL18" s="19">
        <f t="shared" si="25"/>
        <v>-0.12046076934901961</v>
      </c>
      <c r="AM18" s="19">
        <f t="shared" si="26"/>
        <v>-0.023670784815785773</v>
      </c>
      <c r="AN18" s="19">
        <f t="shared" si="27"/>
        <v>0.04377452608956833</v>
      </c>
      <c r="AO18" s="19">
        <f t="shared" si="28"/>
        <v>0.1018894583902814</v>
      </c>
      <c r="AP18" s="19">
        <f t="shared" si="29"/>
        <v>0.096988786470944</v>
      </c>
      <c r="AQ18" s="19">
        <f t="shared" si="30"/>
        <v>0.10067675386663466</v>
      </c>
      <c r="AR18" s="19">
        <f t="shared" si="31"/>
        <v>0.10084353585788541</v>
      </c>
      <c r="AS18" s="19">
        <f t="shared" si="32"/>
        <v>0.09690881999263579</v>
      </c>
      <c r="AT18" s="19">
        <f t="shared" si="33"/>
        <v>0.11295110295779343</v>
      </c>
      <c r="AU18" s="19">
        <f t="shared" si="34"/>
        <v>0.10917973294779437</v>
      </c>
      <c r="AV18" s="19">
        <f t="shared" si="35"/>
        <v>0.10290739703260998</v>
      </c>
      <c r="AW18" s="19">
        <f t="shared" si="36"/>
        <v>0.10217709494759708</v>
      </c>
      <c r="AX18" s="19">
        <f t="shared" si="37"/>
        <v>0.08467542396771743</v>
      </c>
      <c r="AY18" s="19">
        <f t="shared" si="38"/>
        <v>0.09738832033022682</v>
      </c>
    </row>
    <row r="19" spans="1:51" s="23" customFormat="1" ht="12.75">
      <c r="A19" s="42" t="s">
        <v>185</v>
      </c>
      <c r="B19" s="16">
        <f t="shared" si="21"/>
        <v>38344</v>
      </c>
      <c r="C19" s="23">
        <v>1</v>
      </c>
      <c r="D19" s="17">
        <v>10783</v>
      </c>
      <c r="E19" s="17" t="e">
        <f>VLOOKUP($A19,Stocks!$A$2:$Z$999,13,FALSE)</f>
        <v>#N/A</v>
      </c>
      <c r="F19" s="19" t="e">
        <f t="shared" si="0"/>
        <v>#N/A</v>
      </c>
      <c r="G19" s="17" t="e">
        <f>VLOOKUP($A19,Stocks!$A$2:$Z$999,14,FALSE)</f>
        <v>#N/A</v>
      </c>
      <c r="H19" s="43" t="e">
        <f t="shared" si="1"/>
        <v>#N/A</v>
      </c>
      <c r="I19" s="17" t="e">
        <f>VLOOKUP($A19,Stocks!$A$2:$Z$999,10,FALSE)</f>
        <v>#N/A</v>
      </c>
      <c r="J19" s="18" t="e">
        <f t="shared" si="2"/>
        <v>#N/A</v>
      </c>
      <c r="K19" s="17"/>
      <c r="L19" s="17"/>
      <c r="M19" s="19">
        <f t="shared" si="3"/>
        <v>0</v>
      </c>
      <c r="N19" s="16">
        <f ca="1" t="shared" si="22"/>
        <v>39990</v>
      </c>
      <c r="O19" s="17"/>
      <c r="P19" s="38">
        <v>8600</v>
      </c>
      <c r="Q19" s="19">
        <f t="shared" si="4"/>
        <v>0</v>
      </c>
      <c r="R19" s="19">
        <f t="shared" si="5"/>
        <v>-0.20244829824724103</v>
      </c>
      <c r="S19" s="19">
        <f t="shared" si="6"/>
        <v>-0.20244829824724103</v>
      </c>
      <c r="T19" s="19">
        <f t="shared" si="7"/>
        <v>-0.20244829824724103</v>
      </c>
      <c r="U19" s="20">
        <f t="shared" si="8"/>
        <v>1646</v>
      </c>
      <c r="V19" s="19">
        <f t="shared" si="9"/>
        <v>-0.048924369277584145</v>
      </c>
      <c r="W19" s="19">
        <f t="shared" si="10"/>
        <v>0</v>
      </c>
      <c r="X19" s="19">
        <f t="shared" si="11"/>
        <v>0</v>
      </c>
      <c r="Y19" s="19">
        <f t="shared" si="23"/>
        <v>-0.048924369277584145</v>
      </c>
      <c r="Z19" s="19">
        <f t="shared" si="12"/>
        <v>0</v>
      </c>
      <c r="AA19" s="36">
        <f t="shared" si="13"/>
        <v>-2183</v>
      </c>
      <c r="AB19" s="19">
        <f t="shared" si="14"/>
        <v>-0.20244829824724103</v>
      </c>
      <c r="AC19" s="19">
        <f t="shared" si="15"/>
        <v>-0.004077030773132012</v>
      </c>
      <c r="AD19" s="19" t="e">
        <f t="shared" si="16"/>
        <v>#N/A</v>
      </c>
      <c r="AE19" s="19" t="str">
        <f t="shared" si="17"/>
        <v>low</v>
      </c>
      <c r="AF19" s="19" t="e">
        <f t="shared" si="18"/>
        <v>#N/A</v>
      </c>
      <c r="AG19" s="21">
        <f t="shared" si="19"/>
        <v>0</v>
      </c>
      <c r="AH19" s="24"/>
      <c r="AI19" s="19"/>
      <c r="AJ19" s="38">
        <f t="shared" si="20"/>
      </c>
      <c r="AK19" s="19">
        <f t="shared" si="24"/>
        <v>0.07845614262016665</v>
      </c>
      <c r="AL19" s="19">
        <f t="shared" si="25"/>
        <v>0.13680103918717124</v>
      </c>
      <c r="AM19" s="19">
        <f t="shared" si="26"/>
        <v>-6.944670646269469E-05</v>
      </c>
      <c r="AN19" s="19">
        <f t="shared" si="27"/>
        <v>0.027130622673800175</v>
      </c>
      <c r="AO19" s="19">
        <f t="shared" si="28"/>
        <v>0.06629196243050117</v>
      </c>
      <c r="AP19" s="19">
        <f t="shared" si="29"/>
        <v>0.10878493095626118</v>
      </c>
      <c r="AQ19" s="19">
        <f t="shared" si="30"/>
        <v>0.1035259928574106</v>
      </c>
      <c r="AR19" s="19">
        <f t="shared" si="31"/>
        <v>0.10576621926970331</v>
      </c>
      <c r="AS19" s="19">
        <f t="shared" si="32"/>
        <v>0.10527527446501361</v>
      </c>
      <c r="AT19" s="19">
        <f t="shared" si="33"/>
        <v>0.10127124324735326</v>
      </c>
      <c r="AU19" s="19">
        <f t="shared" si="34"/>
        <v>0.11531340485265895</v>
      </c>
      <c r="AV19" s="19">
        <f t="shared" si="35"/>
        <v>0.11166278012721409</v>
      </c>
      <c r="AW19" s="19">
        <f t="shared" si="36"/>
        <v>0.10569284820329194</v>
      </c>
      <c r="AX19" s="19">
        <f t="shared" si="37"/>
        <v>0.10480261956282866</v>
      </c>
      <c r="AY19" s="19">
        <f t="shared" si="38"/>
        <v>0.0883180885932835</v>
      </c>
    </row>
    <row r="20" spans="1:51" s="23" customFormat="1" ht="12.75">
      <c r="A20" s="42" t="s">
        <v>185</v>
      </c>
      <c r="B20" s="16">
        <f t="shared" si="21"/>
        <v>39075</v>
      </c>
      <c r="C20" s="23">
        <v>1</v>
      </c>
      <c r="D20" s="17">
        <v>12463</v>
      </c>
      <c r="E20" s="17" t="e">
        <f>VLOOKUP($A20,Stocks!$A$2:$Z$999,13,FALSE)</f>
        <v>#N/A</v>
      </c>
      <c r="F20" s="19" t="e">
        <f t="shared" si="0"/>
        <v>#N/A</v>
      </c>
      <c r="G20" s="17" t="e">
        <f>VLOOKUP($A20,Stocks!$A$2:$Z$999,14,FALSE)</f>
        <v>#N/A</v>
      </c>
      <c r="H20" s="43" t="e">
        <f t="shared" si="1"/>
        <v>#N/A</v>
      </c>
      <c r="I20" s="17" t="e">
        <f>VLOOKUP($A20,Stocks!$A$2:$Z$999,10,FALSE)</f>
        <v>#N/A</v>
      </c>
      <c r="J20" s="18" t="e">
        <f t="shared" si="2"/>
        <v>#N/A</v>
      </c>
      <c r="K20" s="17"/>
      <c r="L20" s="17"/>
      <c r="M20" s="19">
        <f t="shared" si="3"/>
        <v>0</v>
      </c>
      <c r="N20" s="16">
        <f ca="1" t="shared" si="22"/>
        <v>39990</v>
      </c>
      <c r="O20" s="17"/>
      <c r="P20" s="38">
        <v>8600</v>
      </c>
      <c r="Q20" s="19">
        <f t="shared" si="4"/>
        <v>0</v>
      </c>
      <c r="R20" s="19">
        <f t="shared" si="5"/>
        <v>-0.3099574741234053</v>
      </c>
      <c r="S20" s="19">
        <f t="shared" si="6"/>
        <v>-0.3099574741234053</v>
      </c>
      <c r="T20" s="19">
        <f t="shared" si="7"/>
        <v>-0.3099574741234053</v>
      </c>
      <c r="U20" s="20">
        <f t="shared" si="8"/>
        <v>915</v>
      </c>
      <c r="V20" s="19">
        <f t="shared" si="9"/>
        <v>-0.13756487811681573</v>
      </c>
      <c r="W20" s="19">
        <f t="shared" si="10"/>
        <v>0</v>
      </c>
      <c r="X20" s="19">
        <f t="shared" si="11"/>
        <v>0</v>
      </c>
      <c r="Y20" s="19">
        <f t="shared" si="23"/>
        <v>-0.13756487811681573</v>
      </c>
      <c r="Z20" s="19">
        <f t="shared" si="12"/>
        <v>0</v>
      </c>
      <c r="AA20" s="36">
        <f t="shared" si="13"/>
        <v>-3863</v>
      </c>
      <c r="AB20" s="19">
        <f t="shared" si="14"/>
        <v>-0.3099574741234053</v>
      </c>
      <c r="AC20" s="19">
        <f t="shared" si="15"/>
        <v>-0.011463739843067977</v>
      </c>
      <c r="AD20" s="19" t="e">
        <f t="shared" si="16"/>
        <v>#N/A</v>
      </c>
      <c r="AE20" s="19" t="str">
        <f t="shared" si="17"/>
        <v>low</v>
      </c>
      <c r="AF20" s="19" t="e">
        <f t="shared" si="18"/>
        <v>#N/A</v>
      </c>
      <c r="AG20" s="21">
        <f t="shared" si="19"/>
        <v>0</v>
      </c>
      <c r="AH20" s="24"/>
      <c r="AI20" s="19"/>
      <c r="AJ20" s="38">
        <f t="shared" si="20"/>
      </c>
      <c r="AK20" s="19">
        <f t="shared" si="24"/>
        <v>0.07826246681527382</v>
      </c>
      <c r="AL20" s="19">
        <f t="shared" si="25"/>
        <v>0.07497529460736829</v>
      </c>
      <c r="AM20" s="19">
        <f t="shared" si="26"/>
        <v>0.10545602898088702</v>
      </c>
      <c r="AN20" s="19">
        <f t="shared" si="27"/>
        <v>0.024344532047865686</v>
      </c>
      <c r="AO20" s="19">
        <f t="shared" si="28"/>
        <v>0.038888356463565144</v>
      </c>
      <c r="AP20" s="19">
        <f t="shared" si="29"/>
        <v>0.06802299934337719</v>
      </c>
      <c r="AQ20" s="19">
        <f t="shared" si="30"/>
        <v>0.1030770348671608</v>
      </c>
      <c r="AR20" s="19">
        <f t="shared" si="31"/>
        <v>0.0994013589542262</v>
      </c>
      <c r="AS20" s="19">
        <f t="shared" si="32"/>
        <v>0.10186963203904953</v>
      </c>
      <c r="AT20" s="19">
        <f t="shared" si="33"/>
        <v>0.10186686830143765</v>
      </c>
      <c r="AU20" s="19">
        <f t="shared" si="34"/>
        <v>0.09861295851747864</v>
      </c>
      <c r="AV20" s="19">
        <f t="shared" si="35"/>
        <v>0.11158459250449937</v>
      </c>
      <c r="AW20" s="19">
        <f t="shared" si="36"/>
        <v>0.10855824570244277</v>
      </c>
      <c r="AX20" s="19">
        <f t="shared" si="37"/>
        <v>0.10329911146226611</v>
      </c>
      <c r="AY20" s="19">
        <f t="shared" si="38"/>
        <v>0.10264491796614283</v>
      </c>
    </row>
    <row r="21" spans="1:51" s="23" customFormat="1" ht="12.75">
      <c r="A21" s="42" t="s">
        <v>185</v>
      </c>
      <c r="B21" s="16">
        <f ca="1">TODAY()</f>
        <v>39990</v>
      </c>
      <c r="C21" s="23">
        <v>1</v>
      </c>
      <c r="D21" s="17">
        <v>8600</v>
      </c>
      <c r="E21" s="17" t="e">
        <f>VLOOKUP($A21,Stocks!$A$2:$Z$999,13,FALSE)</f>
        <v>#N/A</v>
      </c>
      <c r="F21" s="19" t="e">
        <f t="shared" si="0"/>
        <v>#N/A</v>
      </c>
      <c r="G21" s="17" t="e">
        <f>VLOOKUP($A21,Stocks!$A$2:$Z$999,14,FALSE)</f>
        <v>#N/A</v>
      </c>
      <c r="H21" s="43" t="e">
        <f t="shared" si="1"/>
        <v>#N/A</v>
      </c>
      <c r="I21" s="17" t="e">
        <f>VLOOKUP($A21,Stocks!$A$2:$Z$999,10,FALSE)</f>
        <v>#N/A</v>
      </c>
      <c r="J21" s="18" t="e">
        <f t="shared" si="2"/>
        <v>#N/A</v>
      </c>
      <c r="K21" s="17"/>
      <c r="L21" s="17"/>
      <c r="M21" s="19">
        <f t="shared" si="3"/>
        <v>0</v>
      </c>
      <c r="N21" s="16">
        <f ca="1" t="shared" si="22"/>
        <v>39990</v>
      </c>
      <c r="O21" s="17"/>
      <c r="P21" s="38">
        <v>8600</v>
      </c>
      <c r="Q21" s="19">
        <f t="shared" si="4"/>
        <v>0</v>
      </c>
      <c r="R21" s="19">
        <f t="shared" si="5"/>
        <v>0</v>
      </c>
      <c r="S21" s="19">
        <f t="shared" si="6"/>
        <v>0</v>
      </c>
      <c r="T21" s="19">
        <f t="shared" si="7"/>
        <v>0</v>
      </c>
      <c r="U21" s="20">
        <f t="shared" si="8"/>
        <v>0</v>
      </c>
      <c r="V21" s="19" t="e">
        <f t="shared" si="9"/>
        <v>#DIV/0!</v>
      </c>
      <c r="W21" s="19" t="e">
        <f t="shared" si="10"/>
        <v>#DIV/0!</v>
      </c>
      <c r="X21" s="19" t="e">
        <f t="shared" si="11"/>
        <v>#DIV/0!</v>
      </c>
      <c r="Y21" s="19">
        <f t="shared" si="23"/>
        <v>0</v>
      </c>
      <c r="Z21" s="19">
        <f t="shared" si="12"/>
        <v>0</v>
      </c>
      <c r="AA21" s="36">
        <f t="shared" si="13"/>
        <v>0</v>
      </c>
      <c r="AB21" s="19">
        <f t="shared" si="14"/>
        <v>0</v>
      </c>
      <c r="AC21" s="19" t="e">
        <f t="shared" si="15"/>
        <v>#DIV/0!</v>
      </c>
      <c r="AD21" s="19" t="e">
        <f t="shared" si="16"/>
        <v>#N/A</v>
      </c>
      <c r="AE21" s="19" t="str">
        <f t="shared" si="17"/>
        <v>low</v>
      </c>
      <c r="AF21" s="19" t="e">
        <f t="shared" si="18"/>
        <v>#N/A</v>
      </c>
      <c r="AG21" s="21">
        <f t="shared" si="19"/>
        <v>0</v>
      </c>
      <c r="AH21" s="24"/>
      <c r="AI21" s="19"/>
      <c r="AJ21" s="38">
        <f t="shared" si="20"/>
      </c>
      <c r="AK21" s="19">
        <f t="shared" si="24"/>
        <v>0.06271756069239665</v>
      </c>
      <c r="AL21" s="19">
        <f t="shared" si="25"/>
        <v>-0.13756487811681573</v>
      </c>
      <c r="AM21" s="19">
        <f t="shared" si="26"/>
        <v>-0.048924369277584145</v>
      </c>
      <c r="AN21" s="19">
        <f t="shared" si="27"/>
        <v>0.004706610601771022</v>
      </c>
      <c r="AO21" s="19">
        <f t="shared" si="28"/>
        <v>-0.02624773188003615</v>
      </c>
      <c r="AP21" s="19">
        <f t="shared" si="29"/>
        <v>-0.006196270123271175</v>
      </c>
      <c r="AQ21" s="19">
        <f t="shared" si="30"/>
        <v>0.023268141014371135</v>
      </c>
      <c r="AR21" s="19">
        <f t="shared" si="31"/>
        <v>0.05720084463034625</v>
      </c>
      <c r="AS21" s="19">
        <f t="shared" si="32"/>
        <v>0.05965261523974141</v>
      </c>
      <c r="AT21" s="19">
        <f t="shared" si="33"/>
        <v>0.06594381966668106</v>
      </c>
      <c r="AU21" s="19">
        <f t="shared" si="34"/>
        <v>0.06939365547351928</v>
      </c>
      <c r="AV21" s="19">
        <f t="shared" si="35"/>
        <v>0.06942592433455586</v>
      </c>
      <c r="AW21" s="19">
        <f t="shared" si="36"/>
        <v>0.08313394326730017</v>
      </c>
      <c r="AX21" s="19">
        <f t="shared" si="37"/>
        <v>0.08257932597700446</v>
      </c>
      <c r="AY21" s="19">
        <f t="shared" si="38"/>
        <v>0.07968857116150341</v>
      </c>
    </row>
    <row r="22" spans="1:39" s="23" customFormat="1" ht="12.75">
      <c r="A22" s="42"/>
      <c r="B22" s="16"/>
      <c r="D22" s="17"/>
      <c r="E22" s="17"/>
      <c r="F22" s="19"/>
      <c r="G22" s="17"/>
      <c r="H22" s="43"/>
      <c r="I22" s="17"/>
      <c r="J22" s="18"/>
      <c r="K22" s="17"/>
      <c r="L22" s="17"/>
      <c r="M22" s="19"/>
      <c r="N22" s="16"/>
      <c r="O22" s="17"/>
      <c r="P22" s="38"/>
      <c r="Q22" s="19"/>
      <c r="R22" s="19"/>
      <c r="S22" s="19"/>
      <c r="T22" s="19"/>
      <c r="U22" s="20"/>
      <c r="V22" s="19"/>
      <c r="W22" s="19"/>
      <c r="X22" s="19"/>
      <c r="Y22" s="19"/>
      <c r="Z22" s="19"/>
      <c r="AA22" s="36"/>
      <c r="AB22" s="19"/>
      <c r="AC22" s="19"/>
      <c r="AD22" s="19"/>
      <c r="AE22" s="19"/>
      <c r="AF22" s="19"/>
      <c r="AG22" s="21"/>
      <c r="AH22" s="24"/>
      <c r="AI22" s="19"/>
      <c r="AJ22" s="38"/>
      <c r="AL22" s="25"/>
      <c r="AM22" s="26"/>
    </row>
    <row r="23" spans="1:39" s="23" customFormat="1" ht="12.75">
      <c r="A23" s="42"/>
      <c r="B23" s="16"/>
      <c r="D23" s="17"/>
      <c r="E23" s="17"/>
      <c r="F23" s="19"/>
      <c r="G23" s="17"/>
      <c r="H23" s="43"/>
      <c r="I23" s="17"/>
      <c r="J23" s="18"/>
      <c r="K23" s="17"/>
      <c r="L23" s="17"/>
      <c r="M23" s="19"/>
      <c r="N23" s="16"/>
      <c r="O23" s="17"/>
      <c r="P23" s="38"/>
      <c r="Q23" s="19"/>
      <c r="R23" s="19"/>
      <c r="S23" s="19"/>
      <c r="T23" s="19"/>
      <c r="U23" s="20"/>
      <c r="V23" s="19"/>
      <c r="W23" s="19"/>
      <c r="X23" s="19"/>
      <c r="Y23" s="19"/>
      <c r="Z23" s="19"/>
      <c r="AA23" s="36"/>
      <c r="AB23" s="19"/>
      <c r="AC23" s="19"/>
      <c r="AD23" s="19"/>
      <c r="AE23" s="19"/>
      <c r="AF23" s="19"/>
      <c r="AG23" s="21"/>
      <c r="AH23" s="24"/>
      <c r="AI23" s="19"/>
      <c r="AJ23" s="38"/>
      <c r="AL23" s="25"/>
      <c r="AM23" s="26"/>
    </row>
    <row r="24" spans="1:39" s="23" customFormat="1" ht="12.75">
      <c r="A24" s="42"/>
      <c r="B24" s="16"/>
      <c r="D24" s="17"/>
      <c r="E24" s="17"/>
      <c r="F24" s="19"/>
      <c r="G24" s="17"/>
      <c r="H24" s="43"/>
      <c r="I24" s="17"/>
      <c r="J24" s="18"/>
      <c r="K24" s="17"/>
      <c r="L24" s="17"/>
      <c r="M24" s="19"/>
      <c r="N24" s="16"/>
      <c r="O24" s="17"/>
      <c r="P24" s="38"/>
      <c r="Q24" s="19"/>
      <c r="R24" s="19"/>
      <c r="S24" s="19"/>
      <c r="T24" s="19"/>
      <c r="U24" s="20"/>
      <c r="V24" s="19"/>
      <c r="W24" s="19"/>
      <c r="X24" s="19"/>
      <c r="Y24" s="19"/>
      <c r="Z24" s="19"/>
      <c r="AA24" s="36"/>
      <c r="AB24" s="19"/>
      <c r="AC24" s="19"/>
      <c r="AD24" s="19"/>
      <c r="AE24" s="19"/>
      <c r="AF24" s="19"/>
      <c r="AG24" s="21"/>
      <c r="AH24" s="24"/>
      <c r="AI24" s="19"/>
      <c r="AJ24" s="38"/>
      <c r="AL24" s="25"/>
      <c r="AM24" s="26"/>
    </row>
    <row r="25" spans="1:39" s="23" customFormat="1" ht="12.75">
      <c r="A25" s="42"/>
      <c r="B25" s="16"/>
      <c r="D25" s="17"/>
      <c r="E25" s="17"/>
      <c r="F25" s="19"/>
      <c r="G25" s="17"/>
      <c r="H25" s="43"/>
      <c r="I25" s="17"/>
      <c r="J25" s="18"/>
      <c r="K25" s="17"/>
      <c r="L25" s="17"/>
      <c r="M25" s="19"/>
      <c r="N25" s="16"/>
      <c r="O25" s="17"/>
      <c r="P25" s="38"/>
      <c r="Q25" s="19"/>
      <c r="R25" s="19"/>
      <c r="S25" s="19"/>
      <c r="T25" s="19"/>
      <c r="U25" s="20"/>
      <c r="V25" s="19"/>
      <c r="W25" s="19"/>
      <c r="X25" s="19"/>
      <c r="Y25" s="19"/>
      <c r="Z25" s="19"/>
      <c r="AA25" s="36"/>
      <c r="AB25" s="19"/>
      <c r="AC25" s="19"/>
      <c r="AD25" s="19"/>
      <c r="AE25" s="19"/>
      <c r="AF25" s="19"/>
      <c r="AG25" s="21"/>
      <c r="AH25" s="24"/>
      <c r="AI25" s="19"/>
      <c r="AJ25" s="38"/>
      <c r="AL25" s="25"/>
      <c r="AM25" s="26"/>
    </row>
    <row r="26" spans="1:39" s="23" customFormat="1" ht="12.75">
      <c r="A26" s="42"/>
      <c r="B26" s="16"/>
      <c r="D26" s="17"/>
      <c r="E26" s="17"/>
      <c r="F26" s="19"/>
      <c r="G26" s="17"/>
      <c r="H26" s="43"/>
      <c r="I26" s="17"/>
      <c r="J26" s="18"/>
      <c r="K26" s="17"/>
      <c r="L26" s="17"/>
      <c r="M26" s="19"/>
      <c r="N26" s="16"/>
      <c r="O26" s="17"/>
      <c r="P26" s="38"/>
      <c r="Q26" s="19"/>
      <c r="R26" s="19"/>
      <c r="S26" s="19"/>
      <c r="T26" s="19"/>
      <c r="U26" s="20"/>
      <c r="V26" s="19"/>
      <c r="W26" s="19"/>
      <c r="X26" s="19"/>
      <c r="Y26" s="19"/>
      <c r="Z26" s="19"/>
      <c r="AA26" s="36"/>
      <c r="AB26" s="19"/>
      <c r="AC26" s="19"/>
      <c r="AD26" s="19"/>
      <c r="AE26" s="19"/>
      <c r="AF26" s="19"/>
      <c r="AG26" s="21"/>
      <c r="AH26" s="24"/>
      <c r="AI26" s="19"/>
      <c r="AJ26" s="38"/>
      <c r="AL26" s="25"/>
      <c r="AM26" s="26"/>
    </row>
    <row r="27" spans="1:39" s="23" customFormat="1" ht="12.75">
      <c r="A27" s="42"/>
      <c r="B27" s="16"/>
      <c r="D27" s="17"/>
      <c r="E27" s="17"/>
      <c r="F27" s="19"/>
      <c r="G27" s="17"/>
      <c r="H27" s="43"/>
      <c r="I27" s="17"/>
      <c r="J27" s="18"/>
      <c r="K27" s="17"/>
      <c r="L27" s="17"/>
      <c r="M27" s="19"/>
      <c r="N27" s="16"/>
      <c r="O27" s="17"/>
      <c r="P27" s="38"/>
      <c r="Q27" s="19"/>
      <c r="R27" s="19"/>
      <c r="S27" s="19"/>
      <c r="T27" s="19"/>
      <c r="U27" s="20"/>
      <c r="V27" s="19"/>
      <c r="W27" s="19"/>
      <c r="X27" s="19"/>
      <c r="Y27" s="19"/>
      <c r="Z27" s="19"/>
      <c r="AA27" s="36"/>
      <c r="AB27" s="19"/>
      <c r="AC27" s="19"/>
      <c r="AD27" s="19"/>
      <c r="AE27" s="19"/>
      <c r="AF27" s="19"/>
      <c r="AG27" s="21"/>
      <c r="AH27" s="24"/>
      <c r="AI27" s="19"/>
      <c r="AJ27" s="38"/>
      <c r="AL27" s="25"/>
      <c r="AM27" s="26"/>
    </row>
    <row r="28" spans="1:39" s="23" customFormat="1" ht="12.75">
      <c r="A28" s="42"/>
      <c r="B28" s="16"/>
      <c r="D28" s="17"/>
      <c r="E28" s="17"/>
      <c r="F28" s="19"/>
      <c r="G28" s="17"/>
      <c r="H28" s="43"/>
      <c r="I28" s="17"/>
      <c r="J28" s="18"/>
      <c r="K28" s="17"/>
      <c r="L28" s="17"/>
      <c r="M28" s="19"/>
      <c r="N28" s="16"/>
      <c r="O28" s="17"/>
      <c r="P28" s="38"/>
      <c r="Q28" s="19"/>
      <c r="R28" s="19"/>
      <c r="S28" s="19"/>
      <c r="T28" s="19"/>
      <c r="U28" s="20"/>
      <c r="V28" s="19"/>
      <c r="W28" s="19"/>
      <c r="X28" s="19"/>
      <c r="Y28" s="19"/>
      <c r="Z28" s="19"/>
      <c r="AA28" s="36"/>
      <c r="AB28" s="19"/>
      <c r="AC28" s="19"/>
      <c r="AD28" s="19"/>
      <c r="AE28" s="19"/>
      <c r="AF28" s="19"/>
      <c r="AG28" s="21"/>
      <c r="AH28" s="24"/>
      <c r="AI28" s="19"/>
      <c r="AJ28" s="38"/>
      <c r="AL28" s="25"/>
      <c r="AM28" s="26"/>
    </row>
    <row r="29" spans="1:39" s="23" customFormat="1" ht="12.75">
      <c r="A29" s="42"/>
      <c r="B29" s="16"/>
      <c r="D29" s="17"/>
      <c r="E29" s="17"/>
      <c r="F29" s="19"/>
      <c r="G29" s="17"/>
      <c r="H29" s="43"/>
      <c r="I29" s="17"/>
      <c r="J29" s="18"/>
      <c r="K29" s="17"/>
      <c r="L29" s="17"/>
      <c r="M29" s="19"/>
      <c r="N29" s="16"/>
      <c r="O29" s="17"/>
      <c r="P29" s="38"/>
      <c r="Q29" s="19"/>
      <c r="R29" s="19"/>
      <c r="S29" s="19"/>
      <c r="T29" s="19"/>
      <c r="U29" s="20"/>
      <c r="V29" s="19"/>
      <c r="W29" s="19"/>
      <c r="X29" s="19"/>
      <c r="Y29" s="19"/>
      <c r="Z29" s="19"/>
      <c r="AA29" s="36"/>
      <c r="AB29" s="19"/>
      <c r="AC29" s="19"/>
      <c r="AD29" s="19"/>
      <c r="AE29" s="19"/>
      <c r="AF29" s="19"/>
      <c r="AG29" s="21"/>
      <c r="AH29" s="24"/>
      <c r="AI29" s="19"/>
      <c r="AJ29" s="38"/>
      <c r="AL29" s="25"/>
      <c r="AM29" s="26"/>
    </row>
    <row r="30" spans="1:39" s="23" customFormat="1" ht="12.75">
      <c r="A30" s="42"/>
      <c r="B30" s="16"/>
      <c r="D30" s="17"/>
      <c r="E30" s="17"/>
      <c r="F30" s="19"/>
      <c r="G30" s="17"/>
      <c r="H30" s="43"/>
      <c r="I30" s="17"/>
      <c r="J30" s="18"/>
      <c r="K30" s="17"/>
      <c r="L30" s="17"/>
      <c r="M30" s="19"/>
      <c r="N30" s="16"/>
      <c r="O30" s="17"/>
      <c r="P30" s="38"/>
      <c r="Q30" s="19"/>
      <c r="R30" s="19"/>
      <c r="S30" s="19"/>
      <c r="T30" s="19"/>
      <c r="U30" s="20"/>
      <c r="V30" s="19"/>
      <c r="W30" s="19"/>
      <c r="X30" s="19"/>
      <c r="Y30" s="19"/>
      <c r="Z30" s="19"/>
      <c r="AA30" s="36"/>
      <c r="AB30" s="19"/>
      <c r="AC30" s="19"/>
      <c r="AD30" s="19"/>
      <c r="AE30" s="19"/>
      <c r="AF30" s="19"/>
      <c r="AG30" s="21"/>
      <c r="AH30" s="24"/>
      <c r="AI30" s="19"/>
      <c r="AJ30" s="38"/>
      <c r="AL30" s="25"/>
      <c r="AM30" s="26"/>
    </row>
    <row r="31" spans="1:39" s="23" customFormat="1" ht="12.75">
      <c r="A31" s="42"/>
      <c r="B31" s="16"/>
      <c r="D31" s="17"/>
      <c r="E31" s="17"/>
      <c r="F31" s="19"/>
      <c r="G31" s="17"/>
      <c r="H31" s="43"/>
      <c r="I31" s="17"/>
      <c r="J31" s="18"/>
      <c r="K31" s="17"/>
      <c r="L31" s="17"/>
      <c r="M31" s="19"/>
      <c r="N31" s="16"/>
      <c r="O31" s="17"/>
      <c r="P31" s="38"/>
      <c r="Q31" s="19"/>
      <c r="R31" s="19"/>
      <c r="S31" s="19"/>
      <c r="T31" s="19"/>
      <c r="U31" s="20"/>
      <c r="V31" s="19"/>
      <c r="W31" s="19"/>
      <c r="X31" s="19"/>
      <c r="Y31" s="19"/>
      <c r="Z31" s="19"/>
      <c r="AA31" s="36"/>
      <c r="AB31" s="19"/>
      <c r="AC31" s="19"/>
      <c r="AD31" s="19"/>
      <c r="AE31" s="19"/>
      <c r="AF31" s="19"/>
      <c r="AG31" s="21"/>
      <c r="AH31" s="24"/>
      <c r="AI31" s="19"/>
      <c r="AJ31" s="38"/>
      <c r="AL31" s="25"/>
      <c r="AM31" s="26"/>
    </row>
    <row r="32" spans="1:39" s="23" customFormat="1" ht="12.75">
      <c r="A32" s="42"/>
      <c r="B32" s="16"/>
      <c r="D32" s="17"/>
      <c r="E32" s="17"/>
      <c r="F32" s="19"/>
      <c r="G32" s="17"/>
      <c r="H32" s="43"/>
      <c r="I32" s="17"/>
      <c r="J32" s="18"/>
      <c r="K32" s="17"/>
      <c r="L32" s="17"/>
      <c r="M32" s="19"/>
      <c r="N32" s="16"/>
      <c r="O32" s="17"/>
      <c r="P32" s="38"/>
      <c r="Q32" s="19"/>
      <c r="R32" s="19"/>
      <c r="S32" s="19"/>
      <c r="T32" s="19"/>
      <c r="U32" s="20"/>
      <c r="V32" s="19"/>
      <c r="W32" s="19"/>
      <c r="X32" s="19"/>
      <c r="Y32" s="19"/>
      <c r="Z32" s="19"/>
      <c r="AA32" s="36"/>
      <c r="AB32" s="19"/>
      <c r="AC32" s="19"/>
      <c r="AD32" s="19"/>
      <c r="AE32" s="19"/>
      <c r="AF32" s="19"/>
      <c r="AG32" s="21"/>
      <c r="AH32" s="24"/>
      <c r="AI32" s="19"/>
      <c r="AJ32" s="38"/>
      <c r="AL32" s="25"/>
      <c r="AM32" s="26"/>
    </row>
    <row r="33" spans="1:39" s="23" customFormat="1" ht="12.75">
      <c r="A33" s="42"/>
      <c r="B33" s="16"/>
      <c r="D33" s="17"/>
      <c r="E33" s="17"/>
      <c r="F33" s="19"/>
      <c r="G33" s="17"/>
      <c r="H33" s="43"/>
      <c r="I33" s="17"/>
      <c r="J33" s="18"/>
      <c r="K33" s="17"/>
      <c r="L33" s="17"/>
      <c r="M33" s="19"/>
      <c r="N33" s="16"/>
      <c r="O33" s="17"/>
      <c r="P33" s="38"/>
      <c r="Q33" s="19"/>
      <c r="R33" s="19"/>
      <c r="S33" s="19"/>
      <c r="T33" s="19"/>
      <c r="U33" s="20"/>
      <c r="V33" s="19"/>
      <c r="W33" s="19"/>
      <c r="X33" s="19"/>
      <c r="Y33" s="19"/>
      <c r="Z33" s="19"/>
      <c r="AA33" s="36"/>
      <c r="AB33" s="19"/>
      <c r="AC33" s="19"/>
      <c r="AD33" s="19"/>
      <c r="AE33" s="19"/>
      <c r="AF33" s="19"/>
      <c r="AG33" s="21"/>
      <c r="AH33" s="24"/>
      <c r="AI33" s="19"/>
      <c r="AJ33" s="38"/>
      <c r="AL33" s="25"/>
      <c r="AM33" s="26"/>
    </row>
    <row r="34" spans="1:39" s="23" customFormat="1" ht="12.75">
      <c r="A34" s="42"/>
      <c r="B34" s="16"/>
      <c r="D34" s="17"/>
      <c r="E34" s="17"/>
      <c r="F34" s="19"/>
      <c r="G34" s="17"/>
      <c r="H34" s="43"/>
      <c r="I34" s="17"/>
      <c r="J34" s="18"/>
      <c r="K34" s="17"/>
      <c r="L34" s="17"/>
      <c r="M34" s="19"/>
      <c r="N34" s="16"/>
      <c r="O34" s="17"/>
      <c r="P34" s="38"/>
      <c r="Q34" s="19"/>
      <c r="R34" s="19"/>
      <c r="S34" s="19"/>
      <c r="T34" s="19"/>
      <c r="U34" s="20"/>
      <c r="V34" s="19"/>
      <c r="W34" s="19"/>
      <c r="X34" s="19"/>
      <c r="Y34" s="19"/>
      <c r="Z34" s="19"/>
      <c r="AA34" s="36"/>
      <c r="AB34" s="19"/>
      <c r="AC34" s="19"/>
      <c r="AD34" s="19"/>
      <c r="AE34" s="19"/>
      <c r="AF34" s="19"/>
      <c r="AG34" s="21"/>
      <c r="AH34" s="24"/>
      <c r="AI34" s="19"/>
      <c r="AJ34" s="38"/>
      <c r="AL34" s="25"/>
      <c r="AM34" s="26"/>
    </row>
    <row r="35" spans="1:39" s="23" customFormat="1" ht="12.75">
      <c r="A35" s="42"/>
      <c r="B35" s="16"/>
      <c r="D35" s="17"/>
      <c r="E35" s="17"/>
      <c r="F35" s="19"/>
      <c r="G35" s="17"/>
      <c r="H35" s="43"/>
      <c r="I35" s="17"/>
      <c r="J35" s="18"/>
      <c r="K35" s="17"/>
      <c r="L35" s="17"/>
      <c r="M35" s="19"/>
      <c r="N35" s="16"/>
      <c r="O35" s="17"/>
      <c r="P35" s="38"/>
      <c r="Q35" s="19"/>
      <c r="R35" s="19"/>
      <c r="S35" s="19"/>
      <c r="T35" s="19"/>
      <c r="U35" s="20"/>
      <c r="V35" s="19"/>
      <c r="W35" s="19"/>
      <c r="X35" s="19"/>
      <c r="Y35" s="19"/>
      <c r="Z35" s="19"/>
      <c r="AA35" s="36"/>
      <c r="AB35" s="19"/>
      <c r="AC35" s="19"/>
      <c r="AD35" s="19"/>
      <c r="AE35" s="19"/>
      <c r="AF35" s="19"/>
      <c r="AG35" s="21"/>
      <c r="AH35" s="24"/>
      <c r="AI35" s="19"/>
      <c r="AJ35" s="38"/>
      <c r="AL35" s="25"/>
      <c r="AM35" s="26"/>
    </row>
    <row r="36" spans="1:39" s="23" customFormat="1" ht="12.75">
      <c r="A36" s="42"/>
      <c r="B36" s="16"/>
      <c r="D36" s="17"/>
      <c r="E36" s="17"/>
      <c r="F36" s="19"/>
      <c r="G36" s="17"/>
      <c r="H36" s="43"/>
      <c r="I36" s="17"/>
      <c r="J36" s="18"/>
      <c r="K36" s="17"/>
      <c r="L36" s="17"/>
      <c r="M36" s="19"/>
      <c r="N36" s="16"/>
      <c r="O36" s="17"/>
      <c r="P36" s="38"/>
      <c r="Q36" s="19"/>
      <c r="R36" s="19"/>
      <c r="S36" s="19"/>
      <c r="T36" s="19"/>
      <c r="U36" s="20"/>
      <c r="V36" s="19"/>
      <c r="W36" s="19"/>
      <c r="X36" s="19"/>
      <c r="Y36" s="19"/>
      <c r="Z36" s="19"/>
      <c r="AA36" s="36"/>
      <c r="AB36" s="19"/>
      <c r="AC36" s="19"/>
      <c r="AD36" s="19"/>
      <c r="AE36" s="19"/>
      <c r="AF36" s="19"/>
      <c r="AG36" s="21"/>
      <c r="AH36" s="24"/>
      <c r="AI36" s="19"/>
      <c r="AJ36" s="38"/>
      <c r="AL36" s="25"/>
      <c r="AM36" s="26"/>
    </row>
    <row r="37" spans="1:39" s="23" customFormat="1" ht="12.75">
      <c r="A37" s="42"/>
      <c r="B37" s="16"/>
      <c r="D37" s="17"/>
      <c r="E37" s="17"/>
      <c r="F37" s="19"/>
      <c r="G37" s="17"/>
      <c r="H37" s="43"/>
      <c r="I37" s="17"/>
      <c r="J37" s="18"/>
      <c r="K37" s="17"/>
      <c r="L37" s="17"/>
      <c r="M37" s="19"/>
      <c r="N37" s="16"/>
      <c r="O37" s="17"/>
      <c r="P37" s="38"/>
      <c r="Q37" s="19"/>
      <c r="R37" s="19"/>
      <c r="S37" s="19"/>
      <c r="T37" s="19"/>
      <c r="U37" s="20"/>
      <c r="V37" s="19"/>
      <c r="W37" s="19"/>
      <c r="X37" s="19"/>
      <c r="Y37" s="19"/>
      <c r="Z37" s="19"/>
      <c r="AA37" s="36"/>
      <c r="AB37" s="19"/>
      <c r="AC37" s="19"/>
      <c r="AD37" s="19"/>
      <c r="AE37" s="19"/>
      <c r="AF37" s="19"/>
      <c r="AG37" s="21"/>
      <c r="AH37" s="24"/>
      <c r="AI37" s="19"/>
      <c r="AJ37" s="38"/>
      <c r="AL37" s="25"/>
      <c r="AM37" s="26"/>
    </row>
    <row r="38" spans="1:39" s="23" customFormat="1" ht="12.75">
      <c r="A38" s="42"/>
      <c r="B38" s="16"/>
      <c r="D38" s="17"/>
      <c r="E38" s="17"/>
      <c r="F38" s="19"/>
      <c r="G38" s="17"/>
      <c r="H38" s="43"/>
      <c r="I38" s="17"/>
      <c r="J38" s="18"/>
      <c r="K38" s="17"/>
      <c r="L38" s="17"/>
      <c r="M38" s="19"/>
      <c r="N38" s="16"/>
      <c r="O38" s="17"/>
      <c r="P38" s="38"/>
      <c r="Q38" s="19"/>
      <c r="R38" s="19"/>
      <c r="S38" s="19"/>
      <c r="T38" s="19"/>
      <c r="U38" s="20"/>
      <c r="V38" s="19"/>
      <c r="W38" s="19"/>
      <c r="X38" s="19"/>
      <c r="Y38" s="19"/>
      <c r="Z38" s="19"/>
      <c r="AA38" s="36"/>
      <c r="AB38" s="19"/>
      <c r="AC38" s="19"/>
      <c r="AD38" s="19"/>
      <c r="AE38" s="19"/>
      <c r="AF38" s="19"/>
      <c r="AG38" s="21"/>
      <c r="AH38" s="24"/>
      <c r="AI38" s="19"/>
      <c r="AJ38" s="38"/>
      <c r="AL38" s="25"/>
      <c r="AM38" s="26"/>
    </row>
    <row r="39" spans="1:39" s="23" customFormat="1" ht="12.75">
      <c r="A39" s="42"/>
      <c r="B39" s="16"/>
      <c r="D39" s="17"/>
      <c r="E39" s="17"/>
      <c r="F39" s="19"/>
      <c r="G39" s="17"/>
      <c r="H39" s="43"/>
      <c r="I39" s="17"/>
      <c r="J39" s="18"/>
      <c r="K39" s="17"/>
      <c r="L39" s="17"/>
      <c r="M39" s="19"/>
      <c r="N39" s="16"/>
      <c r="O39" s="17"/>
      <c r="P39" s="38"/>
      <c r="Q39" s="19"/>
      <c r="R39" s="19"/>
      <c r="S39" s="19"/>
      <c r="T39" s="19"/>
      <c r="U39" s="20"/>
      <c r="V39" s="19"/>
      <c r="W39" s="19"/>
      <c r="X39" s="19"/>
      <c r="Y39" s="19"/>
      <c r="Z39" s="19"/>
      <c r="AA39" s="36"/>
      <c r="AB39" s="19"/>
      <c r="AC39" s="19"/>
      <c r="AD39" s="19"/>
      <c r="AE39" s="19"/>
      <c r="AF39" s="19"/>
      <c r="AG39" s="21"/>
      <c r="AH39" s="24"/>
      <c r="AI39" s="19"/>
      <c r="AJ39" s="38"/>
      <c r="AL39" s="25"/>
      <c r="AM39" s="26"/>
    </row>
    <row r="40" spans="1:39" s="23" customFormat="1" ht="12.75">
      <c r="A40" s="42"/>
      <c r="B40" s="16"/>
      <c r="D40" s="17"/>
      <c r="E40" s="17"/>
      <c r="F40" s="19"/>
      <c r="G40" s="17"/>
      <c r="H40" s="43"/>
      <c r="I40" s="17"/>
      <c r="J40" s="18"/>
      <c r="K40" s="17"/>
      <c r="L40" s="17"/>
      <c r="M40" s="19"/>
      <c r="N40" s="16"/>
      <c r="O40" s="17"/>
      <c r="P40" s="38"/>
      <c r="Q40" s="19"/>
      <c r="R40" s="19"/>
      <c r="S40" s="19"/>
      <c r="T40" s="19"/>
      <c r="U40" s="20"/>
      <c r="V40" s="19"/>
      <c r="W40" s="19"/>
      <c r="X40" s="19"/>
      <c r="Y40" s="19"/>
      <c r="Z40" s="19"/>
      <c r="AA40" s="36"/>
      <c r="AB40" s="19"/>
      <c r="AC40" s="19"/>
      <c r="AD40" s="19"/>
      <c r="AE40" s="19"/>
      <c r="AF40" s="19"/>
      <c r="AG40" s="21"/>
      <c r="AH40" s="24"/>
      <c r="AI40" s="19"/>
      <c r="AJ40" s="38"/>
      <c r="AL40" s="25"/>
      <c r="AM40" s="26"/>
    </row>
    <row r="41" spans="1:39" s="23" customFormat="1" ht="12.75">
      <c r="A41" s="42"/>
      <c r="B41" s="16"/>
      <c r="D41" s="17"/>
      <c r="E41" s="17"/>
      <c r="F41" s="19"/>
      <c r="G41" s="17"/>
      <c r="H41" s="43"/>
      <c r="I41" s="17"/>
      <c r="J41" s="18"/>
      <c r="K41" s="17"/>
      <c r="L41" s="17"/>
      <c r="M41" s="19"/>
      <c r="N41" s="16"/>
      <c r="O41" s="17"/>
      <c r="P41" s="38"/>
      <c r="Q41" s="19"/>
      <c r="R41" s="19"/>
      <c r="S41" s="19"/>
      <c r="T41" s="19"/>
      <c r="U41" s="20"/>
      <c r="V41" s="19"/>
      <c r="W41" s="19"/>
      <c r="X41" s="19"/>
      <c r="Y41" s="19"/>
      <c r="Z41" s="19"/>
      <c r="AA41" s="36"/>
      <c r="AB41" s="19"/>
      <c r="AC41" s="19"/>
      <c r="AD41" s="19"/>
      <c r="AE41" s="19"/>
      <c r="AF41" s="19"/>
      <c r="AG41" s="21"/>
      <c r="AH41" s="24"/>
      <c r="AI41" s="19"/>
      <c r="AJ41" s="38"/>
      <c r="AL41" s="25"/>
      <c r="AM41" s="26"/>
    </row>
    <row r="42" spans="1:39" s="23" customFormat="1" ht="12.75">
      <c r="A42" s="42"/>
      <c r="B42" s="16"/>
      <c r="D42" s="17"/>
      <c r="E42" s="17"/>
      <c r="F42" s="19"/>
      <c r="G42" s="17"/>
      <c r="H42" s="43"/>
      <c r="I42" s="17"/>
      <c r="J42" s="18"/>
      <c r="K42" s="17"/>
      <c r="L42" s="17"/>
      <c r="M42" s="19"/>
      <c r="N42" s="16"/>
      <c r="O42" s="17"/>
      <c r="P42" s="38"/>
      <c r="Q42" s="19"/>
      <c r="R42" s="19"/>
      <c r="S42" s="19"/>
      <c r="T42" s="19"/>
      <c r="U42" s="20"/>
      <c r="V42" s="19"/>
      <c r="W42" s="19"/>
      <c r="X42" s="19"/>
      <c r="Y42" s="19"/>
      <c r="Z42" s="19"/>
      <c r="AA42" s="36"/>
      <c r="AB42" s="19"/>
      <c r="AC42" s="19"/>
      <c r="AD42" s="19"/>
      <c r="AE42" s="19"/>
      <c r="AF42" s="19"/>
      <c r="AG42" s="21"/>
      <c r="AH42" s="24"/>
      <c r="AI42" s="19"/>
      <c r="AJ42" s="38"/>
      <c r="AL42" s="25"/>
      <c r="AM42" s="26"/>
    </row>
    <row r="43" spans="1:39" s="23" customFormat="1" ht="12.75">
      <c r="A43" s="42"/>
      <c r="B43" s="16"/>
      <c r="D43" s="17"/>
      <c r="E43" s="17"/>
      <c r="F43" s="19"/>
      <c r="G43" s="17"/>
      <c r="H43" s="43"/>
      <c r="I43" s="17"/>
      <c r="J43" s="18"/>
      <c r="K43" s="17"/>
      <c r="L43" s="17"/>
      <c r="M43" s="19"/>
      <c r="N43" s="16"/>
      <c r="O43" s="17"/>
      <c r="P43" s="38"/>
      <c r="Q43" s="19"/>
      <c r="R43" s="19"/>
      <c r="S43" s="19"/>
      <c r="T43" s="19"/>
      <c r="U43" s="20"/>
      <c r="V43" s="19"/>
      <c r="W43" s="19"/>
      <c r="X43" s="19"/>
      <c r="Y43" s="19"/>
      <c r="Z43" s="19"/>
      <c r="AA43" s="36"/>
      <c r="AB43" s="19"/>
      <c r="AC43" s="19"/>
      <c r="AD43" s="19"/>
      <c r="AE43" s="19"/>
      <c r="AF43" s="19"/>
      <c r="AG43" s="21"/>
      <c r="AH43" s="24"/>
      <c r="AI43" s="19"/>
      <c r="AJ43" s="38"/>
      <c r="AL43" s="25"/>
      <c r="AM43" s="26"/>
    </row>
    <row r="44" spans="1:39" s="23" customFormat="1" ht="12.75">
      <c r="A44" s="42"/>
      <c r="B44" s="16"/>
      <c r="D44" s="17"/>
      <c r="E44" s="17"/>
      <c r="F44" s="19"/>
      <c r="G44" s="17"/>
      <c r="H44" s="43"/>
      <c r="I44" s="17"/>
      <c r="J44" s="18"/>
      <c r="K44" s="17"/>
      <c r="L44" s="17"/>
      <c r="M44" s="19"/>
      <c r="N44" s="16"/>
      <c r="O44" s="17"/>
      <c r="P44" s="38"/>
      <c r="Q44" s="19"/>
      <c r="R44" s="19"/>
      <c r="S44" s="19"/>
      <c r="T44" s="19"/>
      <c r="U44" s="20"/>
      <c r="V44" s="19"/>
      <c r="W44" s="19"/>
      <c r="X44" s="19"/>
      <c r="Y44" s="19"/>
      <c r="Z44" s="19"/>
      <c r="AA44" s="36"/>
      <c r="AB44" s="19"/>
      <c r="AC44" s="19"/>
      <c r="AD44" s="19"/>
      <c r="AE44" s="19"/>
      <c r="AF44" s="19"/>
      <c r="AG44" s="21"/>
      <c r="AH44" s="24"/>
      <c r="AI44" s="19"/>
      <c r="AJ44" s="38"/>
      <c r="AL44" s="25"/>
      <c r="AM44" s="26"/>
    </row>
    <row r="45" spans="1:39" s="23" customFormat="1" ht="12.75">
      <c r="A45" s="42"/>
      <c r="B45" s="16"/>
      <c r="D45" s="17"/>
      <c r="E45" s="17"/>
      <c r="F45" s="19"/>
      <c r="G45" s="17"/>
      <c r="H45" s="43"/>
      <c r="I45" s="17"/>
      <c r="J45" s="18"/>
      <c r="K45" s="17"/>
      <c r="L45" s="17"/>
      <c r="M45" s="19"/>
      <c r="N45" s="16"/>
      <c r="O45" s="17"/>
      <c r="P45" s="38"/>
      <c r="Q45" s="19"/>
      <c r="R45" s="19"/>
      <c r="S45" s="19"/>
      <c r="T45" s="19"/>
      <c r="U45" s="20"/>
      <c r="V45" s="19"/>
      <c r="W45" s="19"/>
      <c r="X45" s="19"/>
      <c r="Y45" s="19"/>
      <c r="Z45" s="19"/>
      <c r="AA45" s="36"/>
      <c r="AB45" s="19"/>
      <c r="AC45" s="19"/>
      <c r="AD45" s="19"/>
      <c r="AE45" s="19"/>
      <c r="AF45" s="19"/>
      <c r="AG45" s="21"/>
      <c r="AH45" s="24"/>
      <c r="AI45" s="19"/>
      <c r="AJ45" s="38"/>
      <c r="AL45" s="25"/>
      <c r="AM45" s="26"/>
    </row>
    <row r="46" spans="1:39" s="23" customFormat="1" ht="12.75">
      <c r="A46" s="42"/>
      <c r="B46" s="16"/>
      <c r="D46" s="17"/>
      <c r="E46" s="17"/>
      <c r="F46" s="19"/>
      <c r="G46" s="17"/>
      <c r="H46" s="43"/>
      <c r="I46" s="17"/>
      <c r="J46" s="18"/>
      <c r="K46" s="17"/>
      <c r="L46" s="17"/>
      <c r="M46" s="19"/>
      <c r="N46" s="16"/>
      <c r="O46" s="17"/>
      <c r="P46" s="38"/>
      <c r="Q46" s="19"/>
      <c r="R46" s="19"/>
      <c r="S46" s="19"/>
      <c r="T46" s="19"/>
      <c r="U46" s="20"/>
      <c r="V46" s="19"/>
      <c r="W46" s="19"/>
      <c r="X46" s="19"/>
      <c r="Y46" s="19"/>
      <c r="Z46" s="19"/>
      <c r="AA46" s="36"/>
      <c r="AB46" s="19"/>
      <c r="AC46" s="19"/>
      <c r="AD46" s="19"/>
      <c r="AE46" s="19"/>
      <c r="AF46" s="19"/>
      <c r="AG46" s="21"/>
      <c r="AH46" s="24"/>
      <c r="AI46" s="19"/>
      <c r="AJ46" s="38"/>
      <c r="AL46" s="25"/>
      <c r="AM46" s="26"/>
    </row>
    <row r="47" spans="1:39" s="23" customFormat="1" ht="12.75">
      <c r="A47" s="42"/>
      <c r="B47" s="16"/>
      <c r="D47" s="17"/>
      <c r="E47" s="17"/>
      <c r="F47" s="19"/>
      <c r="G47" s="17"/>
      <c r="H47" s="43"/>
      <c r="I47" s="17"/>
      <c r="J47" s="18"/>
      <c r="K47" s="17"/>
      <c r="L47" s="17"/>
      <c r="M47" s="19"/>
      <c r="N47" s="16"/>
      <c r="O47" s="17"/>
      <c r="P47" s="38"/>
      <c r="Q47" s="19"/>
      <c r="R47" s="19"/>
      <c r="S47" s="19"/>
      <c r="T47" s="19"/>
      <c r="U47" s="20"/>
      <c r="V47" s="19"/>
      <c r="W47" s="19"/>
      <c r="X47" s="19"/>
      <c r="Y47" s="19"/>
      <c r="Z47" s="19"/>
      <c r="AA47" s="36"/>
      <c r="AB47" s="19"/>
      <c r="AC47" s="19"/>
      <c r="AD47" s="19"/>
      <c r="AE47" s="19"/>
      <c r="AF47" s="19"/>
      <c r="AG47" s="21"/>
      <c r="AH47" s="24"/>
      <c r="AI47" s="19"/>
      <c r="AJ47" s="38"/>
      <c r="AL47" s="25"/>
      <c r="AM47" s="26"/>
    </row>
    <row r="48" spans="1:39" s="23" customFormat="1" ht="12.75">
      <c r="A48" s="42"/>
      <c r="B48" s="16"/>
      <c r="D48" s="17"/>
      <c r="E48" s="17"/>
      <c r="F48" s="19"/>
      <c r="G48" s="17"/>
      <c r="H48" s="43"/>
      <c r="I48" s="17"/>
      <c r="J48" s="18"/>
      <c r="K48" s="17"/>
      <c r="L48" s="17"/>
      <c r="M48" s="19"/>
      <c r="N48" s="16"/>
      <c r="O48" s="17"/>
      <c r="P48" s="38"/>
      <c r="Q48" s="19"/>
      <c r="R48" s="19"/>
      <c r="S48" s="19"/>
      <c r="T48" s="19"/>
      <c r="U48" s="20"/>
      <c r="V48" s="19"/>
      <c r="W48" s="19"/>
      <c r="X48" s="19"/>
      <c r="Y48" s="19"/>
      <c r="Z48" s="19"/>
      <c r="AA48" s="36"/>
      <c r="AB48" s="19"/>
      <c r="AC48" s="19"/>
      <c r="AD48" s="19"/>
      <c r="AE48" s="19"/>
      <c r="AF48" s="19"/>
      <c r="AG48" s="21"/>
      <c r="AH48" s="24"/>
      <c r="AI48" s="19"/>
      <c r="AJ48" s="38"/>
      <c r="AL48" s="25"/>
      <c r="AM48" s="26"/>
    </row>
    <row r="49" spans="1:39" s="23" customFormat="1" ht="12.75">
      <c r="A49" s="42"/>
      <c r="B49" s="16"/>
      <c r="D49" s="17"/>
      <c r="E49" s="17"/>
      <c r="F49" s="19"/>
      <c r="G49" s="17"/>
      <c r="H49" s="43"/>
      <c r="I49" s="17"/>
      <c r="J49" s="18"/>
      <c r="K49" s="17"/>
      <c r="L49" s="17"/>
      <c r="M49" s="19"/>
      <c r="N49" s="16"/>
      <c r="O49" s="17"/>
      <c r="P49" s="38"/>
      <c r="Q49" s="19"/>
      <c r="R49" s="19"/>
      <c r="S49" s="19"/>
      <c r="T49" s="19"/>
      <c r="U49" s="20"/>
      <c r="V49" s="19"/>
      <c r="W49" s="19"/>
      <c r="X49" s="19"/>
      <c r="Y49" s="19"/>
      <c r="Z49" s="19"/>
      <c r="AA49" s="36"/>
      <c r="AB49" s="19"/>
      <c r="AC49" s="19"/>
      <c r="AD49" s="19"/>
      <c r="AE49" s="19"/>
      <c r="AF49" s="19"/>
      <c r="AG49" s="21"/>
      <c r="AH49" s="24"/>
      <c r="AI49" s="19"/>
      <c r="AJ49" s="38"/>
      <c r="AL49" s="25"/>
      <c r="AM49" s="26"/>
    </row>
    <row r="50" spans="1:39" s="23" customFormat="1" ht="12.75">
      <c r="A50" s="42"/>
      <c r="B50" s="16"/>
      <c r="D50" s="17"/>
      <c r="E50" s="17"/>
      <c r="F50" s="19"/>
      <c r="G50" s="17"/>
      <c r="H50" s="43"/>
      <c r="I50" s="17"/>
      <c r="J50" s="18"/>
      <c r="K50" s="17"/>
      <c r="L50" s="17"/>
      <c r="M50" s="19"/>
      <c r="N50" s="16"/>
      <c r="O50" s="17"/>
      <c r="P50" s="38"/>
      <c r="Q50" s="19"/>
      <c r="R50" s="19"/>
      <c r="S50" s="19"/>
      <c r="T50" s="19"/>
      <c r="U50" s="20"/>
      <c r="V50" s="19"/>
      <c r="W50" s="19"/>
      <c r="X50" s="19"/>
      <c r="Y50" s="19"/>
      <c r="Z50" s="19"/>
      <c r="AA50" s="36"/>
      <c r="AB50" s="19"/>
      <c r="AC50" s="19"/>
      <c r="AD50" s="19"/>
      <c r="AE50" s="19"/>
      <c r="AF50" s="19"/>
      <c r="AG50" s="21"/>
      <c r="AH50" s="24"/>
      <c r="AI50" s="19"/>
      <c r="AJ50" s="38"/>
      <c r="AL50" s="25"/>
      <c r="AM50" s="26"/>
    </row>
    <row r="51" spans="1:39" s="23" customFormat="1" ht="12.75">
      <c r="A51" s="42"/>
      <c r="B51" s="16"/>
      <c r="D51" s="17"/>
      <c r="E51" s="17"/>
      <c r="F51" s="19"/>
      <c r="G51" s="17"/>
      <c r="H51" s="43"/>
      <c r="I51" s="17"/>
      <c r="J51" s="18"/>
      <c r="K51" s="17"/>
      <c r="L51" s="17"/>
      <c r="M51" s="19"/>
      <c r="N51" s="16"/>
      <c r="O51" s="17"/>
      <c r="P51" s="38"/>
      <c r="Q51" s="19"/>
      <c r="R51" s="19"/>
      <c r="S51" s="19"/>
      <c r="T51" s="19"/>
      <c r="U51" s="20"/>
      <c r="V51" s="19"/>
      <c r="W51" s="19"/>
      <c r="X51" s="19"/>
      <c r="Y51" s="19"/>
      <c r="Z51" s="19"/>
      <c r="AA51" s="36"/>
      <c r="AB51" s="19"/>
      <c r="AC51" s="19"/>
      <c r="AD51" s="19"/>
      <c r="AE51" s="19"/>
      <c r="AF51" s="19"/>
      <c r="AG51" s="21"/>
      <c r="AH51" s="24"/>
      <c r="AI51" s="19"/>
      <c r="AJ51" s="38"/>
      <c r="AL51" s="25"/>
      <c r="AM51" s="26"/>
    </row>
    <row r="52" spans="1:39" s="23" customFormat="1" ht="12.75">
      <c r="A52" s="42"/>
      <c r="B52" s="16"/>
      <c r="D52" s="17"/>
      <c r="E52" s="17"/>
      <c r="F52" s="19"/>
      <c r="G52" s="17"/>
      <c r="H52" s="43"/>
      <c r="I52" s="17"/>
      <c r="J52" s="18"/>
      <c r="K52" s="17"/>
      <c r="L52" s="17"/>
      <c r="M52" s="19"/>
      <c r="N52" s="16"/>
      <c r="O52" s="17"/>
      <c r="P52" s="38"/>
      <c r="Q52" s="19"/>
      <c r="R52" s="19"/>
      <c r="S52" s="19"/>
      <c r="T52" s="19"/>
      <c r="U52" s="20"/>
      <c r="V52" s="19"/>
      <c r="W52" s="19"/>
      <c r="X52" s="19"/>
      <c r="Y52" s="19"/>
      <c r="Z52" s="19"/>
      <c r="AA52" s="36"/>
      <c r="AB52" s="19"/>
      <c r="AC52" s="19"/>
      <c r="AD52" s="19"/>
      <c r="AE52" s="19"/>
      <c r="AF52" s="19"/>
      <c r="AG52" s="21"/>
      <c r="AH52" s="24"/>
      <c r="AI52" s="19"/>
      <c r="AJ52" s="38"/>
      <c r="AL52" s="25"/>
      <c r="AM52" s="26"/>
    </row>
    <row r="53" spans="1:39" s="23" customFormat="1" ht="12.75">
      <c r="A53" s="42"/>
      <c r="B53" s="16"/>
      <c r="D53" s="17"/>
      <c r="E53" s="17"/>
      <c r="F53" s="19"/>
      <c r="G53" s="17"/>
      <c r="H53" s="43"/>
      <c r="I53" s="17"/>
      <c r="J53" s="18"/>
      <c r="K53" s="17"/>
      <c r="L53" s="17"/>
      <c r="M53" s="19"/>
      <c r="N53" s="16"/>
      <c r="O53" s="17"/>
      <c r="P53" s="38"/>
      <c r="Q53" s="19"/>
      <c r="R53" s="19"/>
      <c r="S53" s="19"/>
      <c r="T53" s="19"/>
      <c r="U53" s="20"/>
      <c r="V53" s="19"/>
      <c r="W53" s="19"/>
      <c r="X53" s="19"/>
      <c r="Y53" s="19"/>
      <c r="Z53" s="19"/>
      <c r="AA53" s="36"/>
      <c r="AB53" s="19"/>
      <c r="AC53" s="19"/>
      <c r="AD53" s="19"/>
      <c r="AE53" s="19"/>
      <c r="AF53" s="19"/>
      <c r="AG53" s="21"/>
      <c r="AH53" s="24"/>
      <c r="AI53" s="19"/>
      <c r="AJ53" s="38"/>
      <c r="AL53" s="25"/>
      <c r="AM53" s="26"/>
    </row>
    <row r="54" spans="1:39" s="23" customFormat="1" ht="12.75">
      <c r="A54" s="42"/>
      <c r="B54" s="16"/>
      <c r="D54" s="17"/>
      <c r="E54" s="17"/>
      <c r="F54" s="19"/>
      <c r="G54" s="17"/>
      <c r="H54" s="43"/>
      <c r="I54" s="17"/>
      <c r="J54" s="18"/>
      <c r="K54" s="17"/>
      <c r="L54" s="17"/>
      <c r="M54" s="19"/>
      <c r="N54" s="16"/>
      <c r="O54" s="17"/>
      <c r="P54" s="38"/>
      <c r="Q54" s="19"/>
      <c r="R54" s="19"/>
      <c r="S54" s="19"/>
      <c r="T54" s="19"/>
      <c r="U54" s="20"/>
      <c r="V54" s="19"/>
      <c r="W54" s="19"/>
      <c r="X54" s="19"/>
      <c r="Y54" s="19"/>
      <c r="Z54" s="19"/>
      <c r="AA54" s="36"/>
      <c r="AB54" s="19"/>
      <c r="AC54" s="19"/>
      <c r="AD54" s="19"/>
      <c r="AE54" s="19"/>
      <c r="AF54" s="19"/>
      <c r="AG54" s="21"/>
      <c r="AH54" s="24"/>
      <c r="AI54" s="19"/>
      <c r="AJ54" s="38"/>
      <c r="AL54" s="25"/>
      <c r="AM54" s="26"/>
    </row>
    <row r="55" spans="1:39" s="23" customFormat="1" ht="12.75">
      <c r="A55" s="42"/>
      <c r="B55" s="16"/>
      <c r="D55" s="17"/>
      <c r="E55" s="17"/>
      <c r="F55" s="19"/>
      <c r="G55" s="17"/>
      <c r="H55" s="43"/>
      <c r="I55" s="17"/>
      <c r="J55" s="18"/>
      <c r="K55" s="17"/>
      <c r="L55" s="17"/>
      <c r="M55" s="19"/>
      <c r="N55" s="16"/>
      <c r="O55" s="17"/>
      <c r="P55" s="38"/>
      <c r="Q55" s="19"/>
      <c r="R55" s="19"/>
      <c r="S55" s="19"/>
      <c r="T55" s="19"/>
      <c r="U55" s="20"/>
      <c r="V55" s="19"/>
      <c r="W55" s="19"/>
      <c r="X55" s="19"/>
      <c r="Y55" s="19"/>
      <c r="Z55" s="19"/>
      <c r="AA55" s="36"/>
      <c r="AB55" s="19"/>
      <c r="AC55" s="19"/>
      <c r="AD55" s="19"/>
      <c r="AE55" s="19"/>
      <c r="AF55" s="19"/>
      <c r="AG55" s="21"/>
      <c r="AH55" s="24"/>
      <c r="AI55" s="19"/>
      <c r="AJ55" s="38"/>
      <c r="AL55" s="25"/>
      <c r="AM55" s="26"/>
    </row>
    <row r="56" spans="1:39" s="23" customFormat="1" ht="12.75">
      <c r="A56" s="42"/>
      <c r="B56" s="16"/>
      <c r="D56" s="17"/>
      <c r="E56" s="17"/>
      <c r="F56" s="19"/>
      <c r="G56" s="17"/>
      <c r="H56" s="43"/>
      <c r="I56" s="17"/>
      <c r="J56" s="18"/>
      <c r="K56" s="17"/>
      <c r="L56" s="17"/>
      <c r="M56" s="19"/>
      <c r="N56" s="16"/>
      <c r="O56" s="17"/>
      <c r="P56" s="38"/>
      <c r="Q56" s="19"/>
      <c r="R56" s="19"/>
      <c r="S56" s="19"/>
      <c r="T56" s="19"/>
      <c r="U56" s="20"/>
      <c r="V56" s="19"/>
      <c r="W56" s="19"/>
      <c r="X56" s="19"/>
      <c r="Y56" s="19"/>
      <c r="Z56" s="19"/>
      <c r="AA56" s="36"/>
      <c r="AB56" s="19"/>
      <c r="AC56" s="19"/>
      <c r="AD56" s="19"/>
      <c r="AE56" s="19"/>
      <c r="AF56" s="19"/>
      <c r="AG56" s="21"/>
      <c r="AH56" s="24"/>
      <c r="AI56" s="19"/>
      <c r="AJ56" s="38"/>
      <c r="AL56" s="25"/>
      <c r="AM56" s="26"/>
    </row>
    <row r="57" spans="1:39" s="23" customFormat="1" ht="12.75">
      <c r="A57" s="42"/>
      <c r="B57" s="16"/>
      <c r="D57" s="17"/>
      <c r="E57" s="17"/>
      <c r="F57" s="19"/>
      <c r="G57" s="17"/>
      <c r="H57" s="43"/>
      <c r="I57" s="17"/>
      <c r="J57" s="18"/>
      <c r="K57" s="17"/>
      <c r="L57" s="17"/>
      <c r="M57" s="19"/>
      <c r="N57" s="16"/>
      <c r="O57" s="17"/>
      <c r="P57" s="38"/>
      <c r="Q57" s="19"/>
      <c r="R57" s="19"/>
      <c r="S57" s="19"/>
      <c r="T57" s="19"/>
      <c r="U57" s="20"/>
      <c r="V57" s="19"/>
      <c r="W57" s="19"/>
      <c r="X57" s="19"/>
      <c r="Y57" s="19"/>
      <c r="Z57" s="19"/>
      <c r="AA57" s="36"/>
      <c r="AB57" s="19"/>
      <c r="AC57" s="19"/>
      <c r="AD57" s="19"/>
      <c r="AE57" s="19"/>
      <c r="AF57" s="19"/>
      <c r="AG57" s="21"/>
      <c r="AH57" s="24"/>
      <c r="AI57" s="19"/>
      <c r="AJ57" s="38"/>
      <c r="AL57" s="25"/>
      <c r="AM57" s="26"/>
    </row>
    <row r="58" spans="1:39" s="23" customFormat="1" ht="12.75">
      <c r="A58" s="42"/>
      <c r="B58" s="16"/>
      <c r="D58" s="17"/>
      <c r="E58" s="17"/>
      <c r="F58" s="19"/>
      <c r="G58" s="17"/>
      <c r="H58" s="43"/>
      <c r="I58" s="17"/>
      <c r="J58" s="18"/>
      <c r="K58" s="17"/>
      <c r="L58" s="17"/>
      <c r="M58" s="19"/>
      <c r="N58" s="16"/>
      <c r="O58" s="17"/>
      <c r="P58" s="38"/>
      <c r="Q58" s="19"/>
      <c r="R58" s="19"/>
      <c r="S58" s="19"/>
      <c r="T58" s="19"/>
      <c r="U58" s="20"/>
      <c r="V58" s="19"/>
      <c r="W58" s="19"/>
      <c r="X58" s="19"/>
      <c r="Y58" s="19"/>
      <c r="Z58" s="19"/>
      <c r="AA58" s="36"/>
      <c r="AB58" s="19"/>
      <c r="AC58" s="19"/>
      <c r="AD58" s="19"/>
      <c r="AE58" s="19"/>
      <c r="AF58" s="19"/>
      <c r="AG58" s="21"/>
      <c r="AH58" s="24"/>
      <c r="AI58" s="19"/>
      <c r="AJ58" s="38"/>
      <c r="AL58" s="25"/>
      <c r="AM58" s="26"/>
    </row>
    <row r="59" spans="1:39" s="23" customFormat="1" ht="12.75">
      <c r="A59" s="42"/>
      <c r="B59" s="16"/>
      <c r="D59" s="17"/>
      <c r="E59" s="17"/>
      <c r="F59" s="19"/>
      <c r="G59" s="17"/>
      <c r="H59" s="43"/>
      <c r="I59" s="17"/>
      <c r="J59" s="18"/>
      <c r="K59" s="17"/>
      <c r="L59" s="17"/>
      <c r="M59" s="19"/>
      <c r="N59" s="16"/>
      <c r="O59" s="17"/>
      <c r="P59" s="38"/>
      <c r="Q59" s="19"/>
      <c r="R59" s="19"/>
      <c r="S59" s="19"/>
      <c r="T59" s="19"/>
      <c r="U59" s="20"/>
      <c r="V59" s="19"/>
      <c r="W59" s="19"/>
      <c r="X59" s="19"/>
      <c r="Y59" s="19"/>
      <c r="Z59" s="19"/>
      <c r="AA59" s="36"/>
      <c r="AB59" s="19"/>
      <c r="AC59" s="19"/>
      <c r="AD59" s="19"/>
      <c r="AE59" s="19"/>
      <c r="AF59" s="19"/>
      <c r="AG59" s="21"/>
      <c r="AH59" s="24"/>
      <c r="AI59" s="19"/>
      <c r="AJ59" s="38"/>
      <c r="AL59" s="25"/>
      <c r="AM59" s="26"/>
    </row>
    <row r="60" spans="1:39" s="23" customFormat="1" ht="12.75">
      <c r="A60" s="42"/>
      <c r="B60" s="16"/>
      <c r="D60" s="17"/>
      <c r="E60" s="17"/>
      <c r="F60" s="19"/>
      <c r="G60" s="17"/>
      <c r="H60" s="43"/>
      <c r="I60" s="17"/>
      <c r="J60" s="18"/>
      <c r="K60" s="17"/>
      <c r="L60" s="17"/>
      <c r="M60" s="19"/>
      <c r="N60" s="16"/>
      <c r="O60" s="17"/>
      <c r="P60" s="38"/>
      <c r="Q60" s="19"/>
      <c r="R60" s="19"/>
      <c r="S60" s="19"/>
      <c r="T60" s="19"/>
      <c r="U60" s="20"/>
      <c r="V60" s="19"/>
      <c r="W60" s="19"/>
      <c r="X60" s="19"/>
      <c r="Y60" s="19"/>
      <c r="Z60" s="19"/>
      <c r="AA60" s="36"/>
      <c r="AB60" s="19"/>
      <c r="AC60" s="19"/>
      <c r="AD60" s="19"/>
      <c r="AE60" s="19"/>
      <c r="AF60" s="19"/>
      <c r="AG60" s="21"/>
      <c r="AH60" s="24"/>
      <c r="AI60" s="19"/>
      <c r="AJ60" s="38"/>
      <c r="AL60" s="25"/>
      <c r="AM60" s="2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8" sqref="F18"/>
    </sheetView>
  </sheetViews>
  <sheetFormatPr defaultColWidth="9.140625" defaultRowHeight="12.75"/>
  <cols>
    <col min="1" max="1" width="6.140625" style="0" bestFit="1" customWidth="1"/>
    <col min="2" max="2" width="10.140625" style="0" customWidth="1"/>
    <col min="3" max="3" width="6.28125" style="0" bestFit="1" customWidth="1"/>
    <col min="4" max="4" width="8.7109375" style="13" customWidth="1"/>
    <col min="5" max="5" width="6.8515625" style="1" bestFit="1" customWidth="1"/>
    <col min="6" max="6" width="7.421875" style="1" bestFit="1" customWidth="1"/>
    <col min="7" max="7" width="6.8515625" style="1" bestFit="1" customWidth="1"/>
    <col min="8" max="8" width="7.8515625" style="1" bestFit="1" customWidth="1"/>
    <col min="9" max="9" width="5.57421875" style="1" customWidth="1"/>
    <col min="10" max="10" width="7.140625" style="2" customWidth="1"/>
    <col min="11" max="11" width="10.7109375" style="10" customWidth="1"/>
    <col min="12" max="12" width="7.140625" style="1" bestFit="1" customWidth="1"/>
    <col min="13" max="13" width="7.7109375" style="1" bestFit="1" customWidth="1"/>
    <col min="14" max="14" width="7.8515625" style="39" bestFit="1" customWidth="1"/>
    <col min="15" max="15" width="7.8515625" style="15" hidden="1" customWidth="1"/>
    <col min="16" max="17" width="7.00390625" style="15" hidden="1" customWidth="1"/>
    <col min="18" max="18" width="7.28125" style="15" hidden="1" customWidth="1"/>
    <col min="19" max="19" width="6.140625" style="12" bestFit="1" customWidth="1"/>
    <col min="20" max="20" width="7.8515625" style="15" bestFit="1" customWidth="1"/>
    <col min="21" max="21" width="8.140625" style="15" bestFit="1" customWidth="1"/>
    <col min="22" max="22" width="6.8515625" style="15" customWidth="1"/>
    <col min="23" max="23" width="7.57421875" style="15" bestFit="1" customWidth="1"/>
    <col min="24" max="24" width="7.57421875" style="15" customWidth="1"/>
    <col min="25" max="25" width="8.7109375" style="15" customWidth="1"/>
    <col min="26" max="26" width="8.7109375" style="34" bestFit="1" customWidth="1"/>
    <col min="27" max="27" width="8.7109375" style="15" customWidth="1"/>
    <col min="28" max="28" width="7.140625" style="15" customWidth="1"/>
    <col min="29" max="29" width="7.140625" style="15" hidden="1" customWidth="1"/>
    <col min="30" max="30" width="8.7109375" style="21" hidden="1" customWidth="1"/>
    <col min="31" max="31" width="7.00390625" style="21" bestFit="1" customWidth="1"/>
    <col min="32" max="32" width="10.8515625" style="13" bestFit="1" customWidth="1"/>
    <col min="33" max="33" width="24.28125" style="22" customWidth="1"/>
    <col min="34" max="34" width="4.8515625" style="15" customWidth="1"/>
    <col min="35" max="35" width="10.28125" style="2" bestFit="1" customWidth="1"/>
    <col min="37" max="37" width="9.140625" style="9" customWidth="1"/>
    <col min="38" max="38" width="9.140625" style="3" customWidth="1"/>
  </cols>
  <sheetData>
    <row r="1" spans="1:38" s="4" customFormat="1" ht="51">
      <c r="A1" s="4" t="s">
        <v>124</v>
      </c>
      <c r="B1" s="41" t="s">
        <v>14</v>
      </c>
      <c r="C1" s="4" t="s">
        <v>113</v>
      </c>
      <c r="D1" s="44" t="s">
        <v>1</v>
      </c>
      <c r="E1" s="30" t="s">
        <v>47</v>
      </c>
      <c r="F1" s="30" t="s">
        <v>48</v>
      </c>
      <c r="G1" s="30" t="s">
        <v>49</v>
      </c>
      <c r="H1" s="30" t="s">
        <v>50</v>
      </c>
      <c r="I1" s="30" t="s">
        <v>8</v>
      </c>
      <c r="J1" s="31" t="s">
        <v>2</v>
      </c>
      <c r="K1" s="29" t="s">
        <v>5</v>
      </c>
      <c r="L1" s="30" t="s">
        <v>150</v>
      </c>
      <c r="M1" s="30" t="s">
        <v>156</v>
      </c>
      <c r="N1" s="37" t="s">
        <v>151</v>
      </c>
      <c r="O1" s="28" t="s">
        <v>9</v>
      </c>
      <c r="P1" s="28" t="s">
        <v>12</v>
      </c>
      <c r="Q1" s="28" t="s">
        <v>13</v>
      </c>
      <c r="R1" s="28" t="s">
        <v>6</v>
      </c>
      <c r="S1" s="32" t="s">
        <v>7</v>
      </c>
      <c r="T1" s="28" t="s">
        <v>152</v>
      </c>
      <c r="U1" s="28" t="s">
        <v>153</v>
      </c>
      <c r="V1" s="28" t="s">
        <v>155</v>
      </c>
      <c r="W1" s="28" t="s">
        <v>154</v>
      </c>
      <c r="X1" s="28" t="s">
        <v>159</v>
      </c>
      <c r="Y1" s="28" t="s">
        <v>157</v>
      </c>
      <c r="Z1" s="35" t="s">
        <v>158</v>
      </c>
      <c r="AA1" s="28" t="s">
        <v>160</v>
      </c>
      <c r="AB1" s="28"/>
      <c r="AC1" s="28"/>
      <c r="AD1" s="33"/>
      <c r="AE1" s="33"/>
      <c r="AF1" s="27"/>
      <c r="AG1" s="11"/>
      <c r="AH1" s="14"/>
      <c r="AI1" s="6"/>
      <c r="AK1" s="8"/>
      <c r="AL1" s="7"/>
    </row>
    <row r="2" spans="1:38" s="23" customFormat="1" ht="12.75">
      <c r="A2" s="42" t="s">
        <v>162</v>
      </c>
      <c r="B2" s="16">
        <f aca="true" ca="1" t="shared" si="0" ref="B2:B14">TODAY()</f>
        <v>39990</v>
      </c>
      <c r="C2" s="23">
        <v>100</v>
      </c>
      <c r="D2" s="21">
        <f>VLOOKUP($A2,Stocks!$A$2:$Z$999,7,FALSE)</f>
        <v>58.18</v>
      </c>
      <c r="E2" s="17">
        <f>VLOOKUP($A2,Stocks!$A$2:$Z$999,13,FALSE)</f>
        <v>52.54</v>
      </c>
      <c r="F2" s="43">
        <f aca="true" t="shared" si="1" ref="F2:F14">(D2-E2)/E2</f>
        <v>0.10734678340312144</v>
      </c>
      <c r="G2" s="17">
        <f>VLOOKUP($A2,Stocks!$A$2:$Z$999,14,FALSE)</f>
        <v>54.49</v>
      </c>
      <c r="H2" s="43">
        <f aca="true" t="shared" si="2" ref="H2:H14">IF(G2+0&gt;0,(D2-G2)/G2,"")</f>
        <v>0.06771884749495316</v>
      </c>
      <c r="I2" s="17">
        <f>VLOOKUP($A2,Stocks!$A$2:$Z$999,10,FALSE)</f>
        <v>1.64</v>
      </c>
      <c r="J2" s="18">
        <f aca="true" t="shared" si="3" ref="J2:J14">I2/D2</f>
        <v>0.028188380886902713</v>
      </c>
      <c r="K2" s="16">
        <v>39829</v>
      </c>
      <c r="L2" s="17">
        <v>10</v>
      </c>
      <c r="M2" s="17">
        <v>4.1</v>
      </c>
      <c r="N2" s="38">
        <v>70</v>
      </c>
      <c r="O2" s="19" t="e">
        <f>(#REF!+L2)/D2</f>
        <v>#REF!</v>
      </c>
      <c r="P2" s="19">
        <f aca="true" t="shared" si="4" ref="P2:P14">IF(D2&gt;0,((MIN(D2,N2)-D2)+L2)/D2,"")</f>
        <v>0.17188037126160194</v>
      </c>
      <c r="Q2" s="19">
        <f aca="true" t="shared" si="5" ref="Q2:Q14">IF(N2&gt;0,(N2-D2)/D2,"0")</f>
        <v>0.2031625988312135</v>
      </c>
      <c r="R2" s="19" t="e">
        <f aca="true" t="shared" si="6" ref="R2:R14">IF(D2&gt;0,(O2+(N2-D2)/D2),"")</f>
        <v>#REF!</v>
      </c>
      <c r="S2" s="20">
        <f aca="true" t="shared" si="7" ref="S2:S14">K2-B2</f>
        <v>-161</v>
      </c>
      <c r="T2" s="21">
        <f aca="true" t="shared" si="8" ref="T2:T14">D2-L2-N2+M2</f>
        <v>-17.72</v>
      </c>
      <c r="U2" s="43">
        <f aca="true" t="shared" si="9" ref="U2:U14">(($D2-T2)/($D2))^(365/$S2)-1</f>
        <v>-0.4527010854991548</v>
      </c>
      <c r="V2" s="38">
        <v>80</v>
      </c>
      <c r="W2" s="19">
        <f aca="true" t="shared" si="10" ref="W2:W14">((V2)/($D2))^(365/$S2)-1</f>
        <v>-0.5142354169621803</v>
      </c>
      <c r="X2" s="19">
        <f>((V2-N2+M2)/(L2-M2))^(365/$S2)-1</f>
        <v>-0.8612569521653448</v>
      </c>
      <c r="Y2" s="38">
        <v>80</v>
      </c>
      <c r="Z2" s="19">
        <f aca="true" t="shared" si="11" ref="Z2:Z14">((Y2+M2)/($D2))^(365/$S2)-1</f>
        <v>-0.5662728857562548</v>
      </c>
      <c r="AA2" s="19">
        <f aca="true" t="shared" si="12" ref="AA2:AA14">((Y2-N2+M2)/(L2))^(365/S2)-1</f>
        <v>-0.5411103919201866</v>
      </c>
      <c r="AB2" s="19"/>
      <c r="AC2" s="19"/>
      <c r="AD2" s="19"/>
      <c r="AE2" s="19"/>
      <c r="AF2" s="21"/>
      <c r="AG2" s="24"/>
      <c r="AH2" s="19"/>
      <c r="AI2" s="38"/>
      <c r="AK2" s="25"/>
      <c r="AL2" s="26"/>
    </row>
    <row r="3" spans="1:38" s="23" customFormat="1" ht="12.75">
      <c r="A3" s="42" t="s">
        <v>162</v>
      </c>
      <c r="B3" s="16">
        <f ca="1" t="shared" si="0"/>
        <v>39990</v>
      </c>
      <c r="C3" s="23">
        <v>100</v>
      </c>
      <c r="D3" s="21">
        <f>VLOOKUP($A3,Stocks!$A$2:$Z$999,7,FALSE)</f>
        <v>58.18</v>
      </c>
      <c r="E3" s="17">
        <f>VLOOKUP($A3,Stocks!$A$2:$Z$999,13,FALSE)</f>
        <v>52.54</v>
      </c>
      <c r="F3" s="43">
        <f t="shared" si="1"/>
        <v>0.10734678340312144</v>
      </c>
      <c r="G3" s="17">
        <f>VLOOKUP($A3,Stocks!$A$2:$Z$999,14,FALSE)</f>
        <v>54.49</v>
      </c>
      <c r="H3" s="43">
        <f t="shared" si="2"/>
        <v>0.06771884749495316</v>
      </c>
      <c r="I3" s="17">
        <f>VLOOKUP($A3,Stocks!$A$2:$Z$999,10,FALSE)</f>
        <v>1.64</v>
      </c>
      <c r="J3" s="18">
        <f t="shared" si="3"/>
        <v>0.028188380886902713</v>
      </c>
      <c r="K3" s="16">
        <v>39829</v>
      </c>
      <c r="L3" s="17">
        <v>10</v>
      </c>
      <c r="M3" s="17">
        <v>2.4</v>
      </c>
      <c r="N3" s="38">
        <v>70</v>
      </c>
      <c r="O3" s="19" t="e">
        <f>(#REF!+L3)/D3</f>
        <v>#REF!</v>
      </c>
      <c r="P3" s="19">
        <f t="shared" si="4"/>
        <v>0.17188037126160194</v>
      </c>
      <c r="Q3" s="19">
        <f t="shared" si="5"/>
        <v>0.2031625988312135</v>
      </c>
      <c r="R3" s="19" t="e">
        <f t="shared" si="6"/>
        <v>#REF!</v>
      </c>
      <c r="S3" s="20">
        <f t="shared" si="7"/>
        <v>-161</v>
      </c>
      <c r="T3" s="21">
        <f t="shared" si="8"/>
        <v>-19.42</v>
      </c>
      <c r="U3" s="43">
        <f t="shared" si="9"/>
        <v>-0.47950639989709887</v>
      </c>
      <c r="V3" s="38">
        <v>80</v>
      </c>
      <c r="W3" s="19">
        <f t="shared" si="10"/>
        <v>-0.5142354169621803</v>
      </c>
      <c r="X3" s="19">
        <f>((V3-N3+M3)/(L3-M3))^(365/$S3)-1</f>
        <v>-0.6703900705150942</v>
      </c>
      <c r="Y3" s="38">
        <v>85</v>
      </c>
      <c r="Z3" s="19">
        <f t="shared" si="11"/>
        <v>-0.6025144659593069</v>
      </c>
      <c r="AA3" s="19">
        <f t="shared" si="12"/>
        <v>-0.715124283228167</v>
      </c>
      <c r="AB3" s="19"/>
      <c r="AC3" s="19"/>
      <c r="AD3" s="19"/>
      <c r="AE3" s="19"/>
      <c r="AF3" s="21"/>
      <c r="AG3" s="24"/>
      <c r="AH3" s="19"/>
      <c r="AI3" s="38"/>
      <c r="AK3" s="25"/>
      <c r="AL3" s="26"/>
    </row>
    <row r="4" spans="1:38" s="23" customFormat="1" ht="12.75">
      <c r="A4" s="23" t="s">
        <v>142</v>
      </c>
      <c r="B4" s="16">
        <f ca="1" t="shared" si="0"/>
        <v>39990</v>
      </c>
      <c r="C4" s="23">
        <v>100</v>
      </c>
      <c r="D4" s="21">
        <f>VLOOKUP($A4,Stocks!$A$2:$Z$999,7,FALSE)</f>
        <v>16.29</v>
      </c>
      <c r="E4" s="17">
        <f>VLOOKUP($A4,Stocks!$A$2:$Z$999,13,FALSE)</f>
        <v>15.75</v>
      </c>
      <c r="F4" s="43">
        <f t="shared" si="1"/>
        <v>0.03428571428571423</v>
      </c>
      <c r="G4" s="17">
        <f>VLOOKUP($A4,Stocks!$A$2:$Z$999,14,FALSE)</f>
        <v>15.07</v>
      </c>
      <c r="H4" s="43">
        <f t="shared" si="2"/>
        <v>0.08095554080955533</v>
      </c>
      <c r="I4" s="17">
        <f>VLOOKUP($A4,Stocks!$A$2:$Z$999,10,FALSE)</f>
        <v>0.56</v>
      </c>
      <c r="J4" s="18">
        <f t="shared" si="3"/>
        <v>0.03437691835481891</v>
      </c>
      <c r="K4" s="16">
        <v>39829</v>
      </c>
      <c r="L4" s="17">
        <v>13.1</v>
      </c>
      <c r="M4" s="17">
        <v>4</v>
      </c>
      <c r="N4" s="38">
        <v>65</v>
      </c>
      <c r="O4" s="19" t="e">
        <f>(#REF!+L4)/D4</f>
        <v>#REF!</v>
      </c>
      <c r="P4" s="19">
        <f t="shared" si="4"/>
        <v>0.8041743400859424</v>
      </c>
      <c r="Q4" s="19">
        <f t="shared" si="5"/>
        <v>2.9901780233271946</v>
      </c>
      <c r="R4" s="19" t="e">
        <f t="shared" si="6"/>
        <v>#REF!</v>
      </c>
      <c r="S4" s="20">
        <f t="shared" si="7"/>
        <v>-161</v>
      </c>
      <c r="T4" s="21">
        <f t="shared" si="8"/>
        <v>-57.81</v>
      </c>
      <c r="U4" s="43">
        <f t="shared" si="9"/>
        <v>-0.9677526450088759</v>
      </c>
      <c r="V4" s="38">
        <v>80</v>
      </c>
      <c r="W4" s="19">
        <f>((V4)/($D4))^(365/$S4)-1</f>
        <v>-0.9728940714665341</v>
      </c>
      <c r="X4" s="19">
        <f>((V4-N4+M4)/(L4-M4))^(365/$S4)-1</f>
        <v>-0.8115541369794376</v>
      </c>
      <c r="Y4" s="38">
        <v>80</v>
      </c>
      <c r="Z4" s="19">
        <f t="shared" si="11"/>
        <v>-0.9757324218420759</v>
      </c>
      <c r="AA4" s="19">
        <f t="shared" si="12"/>
        <v>-0.5695659940585478</v>
      </c>
      <c r="AB4" s="19"/>
      <c r="AC4" s="19"/>
      <c r="AD4" s="19"/>
      <c r="AE4" s="19"/>
      <c r="AF4" s="21"/>
      <c r="AG4" s="24"/>
      <c r="AH4" s="19"/>
      <c r="AI4" s="38"/>
      <c r="AK4" s="25"/>
      <c r="AL4" s="26"/>
    </row>
    <row r="5" spans="1:38" s="23" customFormat="1" ht="12.75">
      <c r="A5" s="23" t="s">
        <v>142</v>
      </c>
      <c r="B5" s="16">
        <f ca="1" t="shared" si="0"/>
        <v>39990</v>
      </c>
      <c r="C5" s="23">
        <v>100</v>
      </c>
      <c r="D5" s="21">
        <f>VLOOKUP($A5,Stocks!$A$2:$Z$999,7,FALSE)</f>
        <v>16.29</v>
      </c>
      <c r="E5" s="17">
        <f>VLOOKUP($A5,Stocks!$A$2:$Z$999,13,FALSE)</f>
        <v>15.75</v>
      </c>
      <c r="F5" s="43">
        <f t="shared" si="1"/>
        <v>0.03428571428571423</v>
      </c>
      <c r="G5" s="17">
        <f>VLOOKUP($A5,Stocks!$A$2:$Z$999,14,FALSE)</f>
        <v>15.07</v>
      </c>
      <c r="H5" s="43">
        <f t="shared" si="2"/>
        <v>0.08095554080955533</v>
      </c>
      <c r="I5" s="17">
        <f>VLOOKUP($A5,Stocks!$A$2:$Z$999,10,FALSE)</f>
        <v>0.56</v>
      </c>
      <c r="J5" s="18">
        <f t="shared" si="3"/>
        <v>0.03437691835481891</v>
      </c>
      <c r="K5" s="16">
        <v>40193</v>
      </c>
      <c r="L5" s="17">
        <v>14.7</v>
      </c>
      <c r="M5" s="17">
        <v>4</v>
      </c>
      <c r="N5" s="38">
        <v>65</v>
      </c>
      <c r="O5" s="19" t="e">
        <f>(#REF!+L5)/D5</f>
        <v>#REF!</v>
      </c>
      <c r="P5" s="19">
        <f t="shared" si="4"/>
        <v>0.9023941068139963</v>
      </c>
      <c r="Q5" s="19">
        <f t="shared" si="5"/>
        <v>2.9901780233271946</v>
      </c>
      <c r="R5" s="19" t="e">
        <f t="shared" si="6"/>
        <v>#REF!</v>
      </c>
      <c r="S5" s="20">
        <f t="shared" si="7"/>
        <v>203</v>
      </c>
      <c r="T5" s="21">
        <f t="shared" si="8"/>
        <v>-59.41</v>
      </c>
      <c r="U5" s="43">
        <f t="shared" si="9"/>
        <v>14.834341283134846</v>
      </c>
      <c r="V5" s="38">
        <v>85</v>
      </c>
      <c r="W5" s="19">
        <f t="shared" si="10"/>
        <v>18.502142510093393</v>
      </c>
      <c r="X5" s="19">
        <f>((V5-N5+M5)/(L5-M5))^(365/$S5)-1</f>
        <v>3.2736421062492838</v>
      </c>
      <c r="Y5" s="38">
        <v>90</v>
      </c>
      <c r="Z5" s="19">
        <f>((Y5+M5)/($D5))^(365/$S5)-1</f>
        <v>22.370729560465797</v>
      </c>
      <c r="AA5" s="19">
        <f>((Y5-N5+M5)/(L5-M5))^(365/S5)-1</f>
        <v>5.005820754296606</v>
      </c>
      <c r="AB5" s="19"/>
      <c r="AC5" s="19"/>
      <c r="AD5" s="19"/>
      <c r="AE5" s="19"/>
      <c r="AF5" s="21"/>
      <c r="AG5" s="24"/>
      <c r="AH5" s="19"/>
      <c r="AI5" s="38"/>
      <c r="AK5" s="25"/>
      <c r="AL5" s="26"/>
    </row>
    <row r="6" spans="1:38" s="23" customFormat="1" ht="12.75">
      <c r="A6" s="23" t="s">
        <v>142</v>
      </c>
      <c r="B6" s="16">
        <f ca="1" t="shared" si="0"/>
        <v>39990</v>
      </c>
      <c r="C6" s="23">
        <v>100</v>
      </c>
      <c r="D6" s="21">
        <f>VLOOKUP($A6,Stocks!$A$2:$Z$999,7,FALSE)</f>
        <v>16.29</v>
      </c>
      <c r="E6" s="17">
        <f>VLOOKUP($A6,Stocks!$A$2:$Z$999,13,FALSE)</f>
        <v>15.75</v>
      </c>
      <c r="F6" s="43">
        <f t="shared" si="1"/>
        <v>0.03428571428571423</v>
      </c>
      <c r="G6" s="17">
        <f>VLOOKUP($A6,Stocks!$A$2:$Z$999,14,FALSE)</f>
        <v>15.07</v>
      </c>
      <c r="H6" s="43">
        <f t="shared" si="2"/>
        <v>0.08095554080955533</v>
      </c>
      <c r="I6" s="17">
        <f>VLOOKUP($A6,Stocks!$A$2:$Z$999,10,FALSE)</f>
        <v>0.56</v>
      </c>
      <c r="J6" s="18">
        <f t="shared" si="3"/>
        <v>0.03437691835481891</v>
      </c>
      <c r="K6" s="16">
        <v>40193</v>
      </c>
      <c r="L6" s="17">
        <v>14.7</v>
      </c>
      <c r="M6" s="17">
        <v>5.7</v>
      </c>
      <c r="N6" s="38">
        <v>65</v>
      </c>
      <c r="O6" s="19" t="e">
        <f>(#REF!+L6)/D6</f>
        <v>#REF!</v>
      </c>
      <c r="P6" s="19">
        <f t="shared" si="4"/>
        <v>0.9023941068139963</v>
      </c>
      <c r="Q6" s="19">
        <f t="shared" si="5"/>
        <v>2.9901780233271946</v>
      </c>
      <c r="R6" s="19" t="e">
        <f t="shared" si="6"/>
        <v>#REF!</v>
      </c>
      <c r="S6" s="20">
        <f t="shared" si="7"/>
        <v>203</v>
      </c>
      <c r="T6" s="21">
        <f t="shared" si="8"/>
        <v>-57.709999999999994</v>
      </c>
      <c r="U6" s="43">
        <f t="shared" si="9"/>
        <v>14.200712687907872</v>
      </c>
      <c r="V6" s="38">
        <v>85</v>
      </c>
      <c r="W6" s="19">
        <f t="shared" si="10"/>
        <v>18.502142510093393</v>
      </c>
      <c r="X6" s="19">
        <f aca="true" t="shared" si="13" ref="X6:X14">((V6-N6+M6)/(L6-M6))^(365/$S6)-1</f>
        <v>5.5969803802047355</v>
      </c>
      <c r="Y6" s="38">
        <v>85</v>
      </c>
      <c r="Z6" s="19">
        <f t="shared" si="11"/>
        <v>20.91622914418882</v>
      </c>
      <c r="AA6" s="19">
        <f t="shared" si="12"/>
        <v>1.730425673071378</v>
      </c>
      <c r="AB6" s="19"/>
      <c r="AC6" s="19"/>
      <c r="AD6" s="19"/>
      <c r="AE6" s="19"/>
      <c r="AF6" s="21"/>
      <c r="AG6" s="24"/>
      <c r="AH6" s="19"/>
      <c r="AI6" s="38"/>
      <c r="AK6" s="25"/>
      <c r="AL6" s="26"/>
    </row>
    <row r="7" spans="1:38" s="23" customFormat="1" ht="12.75">
      <c r="A7" s="23" t="s">
        <v>142</v>
      </c>
      <c r="B7" s="16">
        <f ca="1" t="shared" si="0"/>
        <v>39990</v>
      </c>
      <c r="C7" s="23">
        <v>100</v>
      </c>
      <c r="D7" s="21">
        <f>VLOOKUP($A7,Stocks!$A$2:$Z$999,7,FALSE)</f>
        <v>16.29</v>
      </c>
      <c r="E7" s="17">
        <f>VLOOKUP($A7,Stocks!$A$2:$Z$999,13,FALSE)</f>
        <v>15.75</v>
      </c>
      <c r="F7" s="43">
        <f t="shared" si="1"/>
        <v>0.03428571428571423</v>
      </c>
      <c r="G7" s="17">
        <f>VLOOKUP($A7,Stocks!$A$2:$Z$999,14,FALSE)</f>
        <v>15.07</v>
      </c>
      <c r="H7" s="43">
        <f t="shared" si="2"/>
        <v>0.08095554080955533</v>
      </c>
      <c r="I7" s="17">
        <f>VLOOKUP($A7,Stocks!$A$2:$Z$999,10,FALSE)</f>
        <v>0.56</v>
      </c>
      <c r="J7" s="18">
        <f t="shared" si="3"/>
        <v>0.03437691835481891</v>
      </c>
      <c r="K7" s="16">
        <v>40193</v>
      </c>
      <c r="L7" s="17">
        <v>16</v>
      </c>
      <c r="M7" s="17"/>
      <c r="N7" s="38">
        <v>65</v>
      </c>
      <c r="O7" s="19" t="e">
        <f>(#REF!+L7)/D7</f>
        <v>#REF!</v>
      </c>
      <c r="P7" s="19">
        <f t="shared" si="4"/>
        <v>0.9821976672805403</v>
      </c>
      <c r="Q7" s="19">
        <f t="shared" si="5"/>
        <v>2.9901780233271946</v>
      </c>
      <c r="R7" s="19" t="e">
        <f t="shared" si="6"/>
        <v>#REF!</v>
      </c>
      <c r="S7" s="20">
        <f t="shared" si="7"/>
        <v>203</v>
      </c>
      <c r="T7" s="21">
        <f t="shared" si="8"/>
        <v>-64.71000000000001</v>
      </c>
      <c r="U7" s="43">
        <f t="shared" si="9"/>
        <v>16.883089185954358</v>
      </c>
      <c r="V7" s="38">
        <v>85</v>
      </c>
      <c r="W7" s="19">
        <f t="shared" si="10"/>
        <v>18.502142510093393</v>
      </c>
      <c r="X7" s="19">
        <f t="shared" si="13"/>
        <v>0.49364389365585004</v>
      </c>
      <c r="Y7" s="38">
        <v>90</v>
      </c>
      <c r="Z7" s="19">
        <f t="shared" si="11"/>
        <v>20.61304028321913</v>
      </c>
      <c r="AA7" s="19">
        <f t="shared" si="12"/>
        <v>1.2309720810554081</v>
      </c>
      <c r="AB7" s="19"/>
      <c r="AC7" s="19"/>
      <c r="AD7" s="19"/>
      <c r="AE7" s="19"/>
      <c r="AF7" s="21"/>
      <c r="AG7" s="24"/>
      <c r="AH7" s="19"/>
      <c r="AI7" s="38"/>
      <c r="AK7" s="25"/>
      <c r="AL7" s="26"/>
    </row>
    <row r="8" spans="1:38" s="23" customFormat="1" ht="12.75">
      <c r="A8" s="23" t="s">
        <v>142</v>
      </c>
      <c r="B8" s="16">
        <f ca="1" t="shared" si="0"/>
        <v>39990</v>
      </c>
      <c r="C8" s="23">
        <v>100</v>
      </c>
      <c r="D8" s="21">
        <f>VLOOKUP($A8,Stocks!$A$2:$Z$999,7,FALSE)</f>
        <v>16.29</v>
      </c>
      <c r="E8" s="17">
        <f>VLOOKUP($A8,Stocks!$A$2:$Z$999,13,FALSE)</f>
        <v>15.75</v>
      </c>
      <c r="F8" s="43">
        <f t="shared" si="1"/>
        <v>0.03428571428571423</v>
      </c>
      <c r="G8" s="17">
        <f>VLOOKUP($A8,Stocks!$A$2:$Z$999,14,FALSE)</f>
        <v>15.07</v>
      </c>
      <c r="H8" s="43">
        <f t="shared" si="2"/>
        <v>0.08095554080955533</v>
      </c>
      <c r="I8" s="17">
        <f>VLOOKUP($A8,Stocks!$A$2:$Z$999,10,FALSE)</f>
        <v>0.56</v>
      </c>
      <c r="J8" s="18">
        <f t="shared" si="3"/>
        <v>0.03437691835481891</v>
      </c>
      <c r="K8" s="16">
        <v>40193</v>
      </c>
      <c r="L8" s="17">
        <v>16</v>
      </c>
      <c r="M8" s="17"/>
      <c r="N8" s="38">
        <v>65</v>
      </c>
      <c r="O8" s="19" t="e">
        <f>(#REF!+L8)/D8</f>
        <v>#REF!</v>
      </c>
      <c r="P8" s="19">
        <f t="shared" si="4"/>
        <v>0.9821976672805403</v>
      </c>
      <c r="Q8" s="19">
        <f t="shared" si="5"/>
        <v>2.9901780233271946</v>
      </c>
      <c r="R8" s="19" t="e">
        <f t="shared" si="6"/>
        <v>#REF!</v>
      </c>
      <c r="S8" s="20">
        <f t="shared" si="7"/>
        <v>203</v>
      </c>
      <c r="T8" s="21">
        <f t="shared" si="8"/>
        <v>-64.71000000000001</v>
      </c>
      <c r="U8" s="43">
        <f t="shared" si="9"/>
        <v>16.883089185954358</v>
      </c>
      <c r="V8" s="38">
        <v>85</v>
      </c>
      <c r="W8" s="19">
        <f t="shared" si="10"/>
        <v>18.502142510093393</v>
      </c>
      <c r="X8" s="19">
        <f t="shared" si="13"/>
        <v>0.49364389365585004</v>
      </c>
      <c r="Y8" s="38">
        <v>90</v>
      </c>
      <c r="Z8" s="19">
        <f t="shared" si="11"/>
        <v>20.61304028321913</v>
      </c>
      <c r="AA8" s="19">
        <f t="shared" si="12"/>
        <v>1.2309720810554081</v>
      </c>
      <c r="AB8" s="19"/>
      <c r="AC8" s="19"/>
      <c r="AD8" s="19"/>
      <c r="AE8" s="19"/>
      <c r="AF8" s="21"/>
      <c r="AG8" s="24"/>
      <c r="AH8" s="19"/>
      <c r="AI8" s="38"/>
      <c r="AK8" s="25"/>
      <c r="AL8" s="26"/>
    </row>
    <row r="9" spans="1:38" s="23" customFormat="1" ht="12.75">
      <c r="A9" s="23" t="s">
        <v>142</v>
      </c>
      <c r="B9" s="16">
        <f ca="1" t="shared" si="0"/>
        <v>39990</v>
      </c>
      <c r="C9" s="23">
        <v>100</v>
      </c>
      <c r="D9" s="21">
        <f>VLOOKUP($A9,Stocks!$A$2:$Z$999,7,FALSE)</f>
        <v>16.29</v>
      </c>
      <c r="E9" s="17">
        <f>VLOOKUP($A9,Stocks!$A$2:$Z$999,13,FALSE)</f>
        <v>15.75</v>
      </c>
      <c r="F9" s="43">
        <f t="shared" si="1"/>
        <v>0.03428571428571423</v>
      </c>
      <c r="G9" s="17">
        <f>VLOOKUP($A9,Stocks!$A$2:$Z$999,14,FALSE)</f>
        <v>15.07</v>
      </c>
      <c r="H9" s="43">
        <f t="shared" si="2"/>
        <v>0.08095554080955533</v>
      </c>
      <c r="I9" s="17">
        <f>VLOOKUP($A9,Stocks!$A$2:$Z$999,10,FALSE)</f>
        <v>0.56</v>
      </c>
      <c r="J9" s="18">
        <f t="shared" si="3"/>
        <v>0.03437691835481891</v>
      </c>
      <c r="K9" s="16">
        <v>40193</v>
      </c>
      <c r="L9" s="17">
        <v>16</v>
      </c>
      <c r="M9" s="17"/>
      <c r="N9" s="38">
        <v>65</v>
      </c>
      <c r="O9" s="19" t="e">
        <f>(#REF!+L9)/D9</f>
        <v>#REF!</v>
      </c>
      <c r="P9" s="19">
        <f t="shared" si="4"/>
        <v>0.9821976672805403</v>
      </c>
      <c r="Q9" s="19">
        <f t="shared" si="5"/>
        <v>2.9901780233271946</v>
      </c>
      <c r="R9" s="19" t="e">
        <f t="shared" si="6"/>
        <v>#REF!</v>
      </c>
      <c r="S9" s="20">
        <f t="shared" si="7"/>
        <v>203</v>
      </c>
      <c r="T9" s="21">
        <f t="shared" si="8"/>
        <v>-64.71000000000001</v>
      </c>
      <c r="U9" s="43">
        <f t="shared" si="9"/>
        <v>16.883089185954358</v>
      </c>
      <c r="V9" s="38">
        <v>85</v>
      </c>
      <c r="W9" s="19">
        <f t="shared" si="10"/>
        <v>18.502142510093393</v>
      </c>
      <c r="X9" s="19">
        <f t="shared" si="13"/>
        <v>0.49364389365585004</v>
      </c>
      <c r="Y9" s="38">
        <v>90</v>
      </c>
      <c r="Z9" s="19">
        <f t="shared" si="11"/>
        <v>20.61304028321913</v>
      </c>
      <c r="AA9" s="19">
        <f t="shared" si="12"/>
        <v>1.2309720810554081</v>
      </c>
      <c r="AB9" s="19"/>
      <c r="AC9" s="19"/>
      <c r="AD9" s="19"/>
      <c r="AE9" s="19"/>
      <c r="AF9" s="21"/>
      <c r="AG9" s="24"/>
      <c r="AH9" s="19"/>
      <c r="AI9" s="38"/>
      <c r="AK9" s="25"/>
      <c r="AL9" s="26"/>
    </row>
    <row r="10" spans="1:38" s="23" customFormat="1" ht="12.75">
      <c r="A10" s="23" t="s">
        <v>142</v>
      </c>
      <c r="B10" s="16">
        <f ca="1" t="shared" si="0"/>
        <v>39990</v>
      </c>
      <c r="C10" s="23">
        <v>100</v>
      </c>
      <c r="D10" s="21">
        <f>VLOOKUP($A10,Stocks!$A$2:$Z$999,7,FALSE)</f>
        <v>16.29</v>
      </c>
      <c r="E10" s="17">
        <f>VLOOKUP($A10,Stocks!$A$2:$Z$999,13,FALSE)</f>
        <v>15.75</v>
      </c>
      <c r="F10" s="43">
        <f t="shared" si="1"/>
        <v>0.03428571428571423</v>
      </c>
      <c r="G10" s="17">
        <f>VLOOKUP($A10,Stocks!$A$2:$Z$999,14,FALSE)</f>
        <v>15.07</v>
      </c>
      <c r="H10" s="43">
        <f t="shared" si="2"/>
        <v>0.08095554080955533</v>
      </c>
      <c r="I10" s="17">
        <f>VLOOKUP($A10,Stocks!$A$2:$Z$999,10,FALSE)</f>
        <v>0.56</v>
      </c>
      <c r="J10" s="18">
        <f t="shared" si="3"/>
        <v>0.03437691835481891</v>
      </c>
      <c r="K10" s="16">
        <v>40193</v>
      </c>
      <c r="L10" s="17">
        <v>16</v>
      </c>
      <c r="M10" s="17"/>
      <c r="N10" s="38">
        <v>65</v>
      </c>
      <c r="O10" s="19" t="e">
        <f>(#REF!+L10)/D10</f>
        <v>#REF!</v>
      </c>
      <c r="P10" s="19">
        <f t="shared" si="4"/>
        <v>0.9821976672805403</v>
      </c>
      <c r="Q10" s="19">
        <f t="shared" si="5"/>
        <v>2.9901780233271946</v>
      </c>
      <c r="R10" s="19" t="e">
        <f t="shared" si="6"/>
        <v>#REF!</v>
      </c>
      <c r="S10" s="20">
        <f t="shared" si="7"/>
        <v>203</v>
      </c>
      <c r="T10" s="21">
        <f t="shared" si="8"/>
        <v>-64.71000000000001</v>
      </c>
      <c r="U10" s="43">
        <f t="shared" si="9"/>
        <v>16.883089185954358</v>
      </c>
      <c r="V10" s="38">
        <v>85</v>
      </c>
      <c r="W10" s="19">
        <f t="shared" si="10"/>
        <v>18.502142510093393</v>
      </c>
      <c r="X10" s="19">
        <f t="shared" si="13"/>
        <v>0.49364389365585004</v>
      </c>
      <c r="Y10" s="38">
        <v>90</v>
      </c>
      <c r="Z10" s="19">
        <f t="shared" si="11"/>
        <v>20.61304028321913</v>
      </c>
      <c r="AA10" s="19">
        <f t="shared" si="12"/>
        <v>1.2309720810554081</v>
      </c>
      <c r="AB10" s="19"/>
      <c r="AC10" s="19"/>
      <c r="AD10" s="19"/>
      <c r="AE10" s="19"/>
      <c r="AF10" s="21"/>
      <c r="AG10" s="24"/>
      <c r="AH10" s="19"/>
      <c r="AI10" s="38"/>
      <c r="AK10" s="25"/>
      <c r="AL10" s="26"/>
    </row>
    <row r="11" spans="1:38" s="23" customFormat="1" ht="12.75">
      <c r="A11" s="23" t="s">
        <v>142</v>
      </c>
      <c r="B11" s="16">
        <f ca="1" t="shared" si="0"/>
        <v>39990</v>
      </c>
      <c r="C11" s="23">
        <v>100</v>
      </c>
      <c r="D11" s="21">
        <f>VLOOKUP($A11,Stocks!$A$2:$Z$999,7,FALSE)</f>
        <v>16.29</v>
      </c>
      <c r="E11" s="17">
        <f>VLOOKUP($A11,Stocks!$A$2:$Z$999,13,FALSE)</f>
        <v>15.75</v>
      </c>
      <c r="F11" s="43">
        <f t="shared" si="1"/>
        <v>0.03428571428571423</v>
      </c>
      <c r="G11" s="17">
        <f>VLOOKUP($A11,Stocks!$A$2:$Z$999,14,FALSE)</f>
        <v>15.07</v>
      </c>
      <c r="H11" s="43">
        <f t="shared" si="2"/>
        <v>0.08095554080955533</v>
      </c>
      <c r="I11" s="17">
        <f>VLOOKUP($A11,Stocks!$A$2:$Z$999,10,FALSE)</f>
        <v>0.56</v>
      </c>
      <c r="J11" s="18">
        <f t="shared" si="3"/>
        <v>0.03437691835481891</v>
      </c>
      <c r="K11" s="16">
        <v>40193</v>
      </c>
      <c r="L11" s="17">
        <v>16</v>
      </c>
      <c r="M11" s="17"/>
      <c r="N11" s="38">
        <v>65</v>
      </c>
      <c r="O11" s="19" t="e">
        <f>(#REF!+L11)/D11</f>
        <v>#REF!</v>
      </c>
      <c r="P11" s="19">
        <f t="shared" si="4"/>
        <v>0.9821976672805403</v>
      </c>
      <c r="Q11" s="19">
        <f t="shared" si="5"/>
        <v>2.9901780233271946</v>
      </c>
      <c r="R11" s="19" t="e">
        <f t="shared" si="6"/>
        <v>#REF!</v>
      </c>
      <c r="S11" s="20">
        <f t="shared" si="7"/>
        <v>203</v>
      </c>
      <c r="T11" s="21">
        <f t="shared" si="8"/>
        <v>-64.71000000000001</v>
      </c>
      <c r="U11" s="43">
        <f t="shared" si="9"/>
        <v>16.883089185954358</v>
      </c>
      <c r="V11" s="38">
        <v>85</v>
      </c>
      <c r="W11" s="19">
        <f t="shared" si="10"/>
        <v>18.502142510093393</v>
      </c>
      <c r="X11" s="19">
        <f t="shared" si="13"/>
        <v>0.49364389365585004</v>
      </c>
      <c r="Y11" s="38">
        <v>90</v>
      </c>
      <c r="Z11" s="19">
        <f t="shared" si="11"/>
        <v>20.61304028321913</v>
      </c>
      <c r="AA11" s="19">
        <f t="shared" si="12"/>
        <v>1.2309720810554081</v>
      </c>
      <c r="AB11" s="19"/>
      <c r="AC11" s="19"/>
      <c r="AD11" s="19"/>
      <c r="AE11" s="19"/>
      <c r="AF11" s="21"/>
      <c r="AG11" s="24"/>
      <c r="AH11" s="19"/>
      <c r="AI11" s="38"/>
      <c r="AK11" s="25"/>
      <c r="AL11" s="26"/>
    </row>
    <row r="12" spans="1:38" s="23" customFormat="1" ht="12.75">
      <c r="A12" s="23" t="s">
        <v>142</v>
      </c>
      <c r="B12" s="16">
        <f ca="1" t="shared" si="0"/>
        <v>39990</v>
      </c>
      <c r="C12" s="23">
        <v>100</v>
      </c>
      <c r="D12" s="21">
        <f>VLOOKUP($A12,Stocks!$A$2:$Z$999,7,FALSE)</f>
        <v>16.29</v>
      </c>
      <c r="E12" s="17">
        <f>VLOOKUP($A12,Stocks!$A$2:$Z$999,13,FALSE)</f>
        <v>15.75</v>
      </c>
      <c r="F12" s="43">
        <f t="shared" si="1"/>
        <v>0.03428571428571423</v>
      </c>
      <c r="G12" s="17">
        <f>VLOOKUP($A12,Stocks!$A$2:$Z$999,14,FALSE)</f>
        <v>15.07</v>
      </c>
      <c r="H12" s="43">
        <f t="shared" si="2"/>
        <v>0.08095554080955533</v>
      </c>
      <c r="I12" s="17">
        <f>VLOOKUP($A12,Stocks!$A$2:$Z$999,10,FALSE)</f>
        <v>0.56</v>
      </c>
      <c r="J12" s="18">
        <f t="shared" si="3"/>
        <v>0.03437691835481891</v>
      </c>
      <c r="K12" s="16">
        <v>40193</v>
      </c>
      <c r="L12" s="17">
        <v>16</v>
      </c>
      <c r="M12" s="17"/>
      <c r="N12" s="38">
        <v>65</v>
      </c>
      <c r="O12" s="19" t="e">
        <f>(#REF!+L12)/D12</f>
        <v>#REF!</v>
      </c>
      <c r="P12" s="19">
        <f t="shared" si="4"/>
        <v>0.9821976672805403</v>
      </c>
      <c r="Q12" s="19">
        <f t="shared" si="5"/>
        <v>2.9901780233271946</v>
      </c>
      <c r="R12" s="19" t="e">
        <f t="shared" si="6"/>
        <v>#REF!</v>
      </c>
      <c r="S12" s="20">
        <f t="shared" si="7"/>
        <v>203</v>
      </c>
      <c r="T12" s="21">
        <f t="shared" si="8"/>
        <v>-64.71000000000001</v>
      </c>
      <c r="U12" s="43">
        <f t="shared" si="9"/>
        <v>16.883089185954358</v>
      </c>
      <c r="V12" s="38">
        <v>85</v>
      </c>
      <c r="W12" s="19">
        <f t="shared" si="10"/>
        <v>18.502142510093393</v>
      </c>
      <c r="X12" s="19">
        <f t="shared" si="13"/>
        <v>0.49364389365585004</v>
      </c>
      <c r="Y12" s="38">
        <v>90</v>
      </c>
      <c r="Z12" s="19">
        <f t="shared" si="11"/>
        <v>20.61304028321913</v>
      </c>
      <c r="AA12" s="19">
        <f t="shared" si="12"/>
        <v>1.2309720810554081</v>
      </c>
      <c r="AB12" s="19"/>
      <c r="AC12" s="19"/>
      <c r="AD12" s="19"/>
      <c r="AE12" s="19"/>
      <c r="AF12" s="21"/>
      <c r="AG12" s="24"/>
      <c r="AH12" s="19"/>
      <c r="AI12" s="38"/>
      <c r="AK12" s="25"/>
      <c r="AL12" s="26"/>
    </row>
    <row r="13" spans="1:38" s="23" customFormat="1" ht="12.75">
      <c r="A13" s="23" t="s">
        <v>142</v>
      </c>
      <c r="B13" s="16">
        <f ca="1" t="shared" si="0"/>
        <v>39990</v>
      </c>
      <c r="C13" s="23">
        <v>100</v>
      </c>
      <c r="D13" s="21">
        <v>10</v>
      </c>
      <c r="E13" s="17">
        <f>VLOOKUP($A13,Stocks!$A$2:$Z$999,13,FALSE)</f>
        <v>15.75</v>
      </c>
      <c r="F13" s="43">
        <f t="shared" si="1"/>
        <v>-0.36507936507936506</v>
      </c>
      <c r="G13" s="17">
        <f>VLOOKUP($A13,Stocks!$A$2:$Z$999,14,FALSE)</f>
        <v>15.07</v>
      </c>
      <c r="H13" s="43">
        <f t="shared" si="2"/>
        <v>-0.33642999336429996</v>
      </c>
      <c r="I13" s="17">
        <f>VLOOKUP($A13,Stocks!$A$2:$Z$999,10,FALSE)</f>
        <v>0.56</v>
      </c>
      <c r="J13" s="18">
        <f t="shared" si="3"/>
        <v>0.05600000000000001</v>
      </c>
      <c r="K13" s="16">
        <v>39967</v>
      </c>
      <c r="L13" s="17">
        <v>5</v>
      </c>
      <c r="M13" s="17"/>
      <c r="N13" s="38">
        <v>5</v>
      </c>
      <c r="O13" s="19" t="e">
        <f>(#REF!+L13)/D13</f>
        <v>#REF!</v>
      </c>
      <c r="P13" s="19">
        <f t="shared" si="4"/>
        <v>0</v>
      </c>
      <c r="Q13" s="19">
        <f t="shared" si="5"/>
        <v>-0.5</v>
      </c>
      <c r="R13" s="19" t="e">
        <f t="shared" si="6"/>
        <v>#REF!</v>
      </c>
      <c r="S13" s="20">
        <f t="shared" si="7"/>
        <v>-23</v>
      </c>
      <c r="T13" s="21">
        <f t="shared" si="8"/>
        <v>0</v>
      </c>
      <c r="U13" s="43">
        <f t="shared" si="9"/>
        <v>0</v>
      </c>
      <c r="V13" s="38">
        <v>20</v>
      </c>
      <c r="W13" s="19">
        <f t="shared" si="10"/>
        <v>-0.9999832973703547</v>
      </c>
      <c r="X13" s="19">
        <f t="shared" si="13"/>
        <v>-0.9999999731902273</v>
      </c>
      <c r="Y13" s="38">
        <v>30</v>
      </c>
      <c r="Z13" s="19">
        <f t="shared" si="11"/>
        <v>-0.9999999731902273</v>
      </c>
      <c r="AA13" s="19">
        <f t="shared" si="12"/>
        <v>-0.9999999999919156</v>
      </c>
      <c r="AB13" s="19"/>
      <c r="AC13" s="19"/>
      <c r="AD13" s="19"/>
      <c r="AE13" s="19"/>
      <c r="AF13" s="21"/>
      <c r="AG13" s="24"/>
      <c r="AH13" s="19"/>
      <c r="AI13" s="38"/>
      <c r="AK13" s="25"/>
      <c r="AL13" s="26"/>
    </row>
    <row r="14" spans="1:38" s="23" customFormat="1" ht="12.75">
      <c r="A14" s="42" t="s">
        <v>23</v>
      </c>
      <c r="B14" s="16">
        <f ca="1" t="shared" si="0"/>
        <v>39990</v>
      </c>
      <c r="C14" s="23">
        <v>100</v>
      </c>
      <c r="D14" s="21">
        <f>VLOOKUP($A14,Stocks!$A$2:$Z$999,7,FALSE)</f>
        <v>23.35</v>
      </c>
      <c r="E14" s="17">
        <f>VLOOKUP($A14,Stocks!$A$2:$Z$999,13,FALSE)</f>
        <v>21</v>
      </c>
      <c r="F14" s="43">
        <f t="shared" si="1"/>
        <v>0.11190476190476198</v>
      </c>
      <c r="G14" s="17">
        <f>VLOOKUP($A14,Stocks!$A$2:$Z$999,14,FALSE)</f>
        <v>20.45</v>
      </c>
      <c r="H14" s="43">
        <f t="shared" si="2"/>
        <v>0.14180929095354533</v>
      </c>
      <c r="I14" s="17">
        <f>VLOOKUP($A14,Stocks!$A$2:$Z$999,10,FALSE)</f>
        <v>0.52</v>
      </c>
      <c r="J14" s="18">
        <f t="shared" si="3"/>
        <v>0.022269807280513917</v>
      </c>
      <c r="K14" s="16">
        <v>40193</v>
      </c>
      <c r="L14" s="17">
        <v>9.25</v>
      </c>
      <c r="M14" s="17">
        <v>1.72</v>
      </c>
      <c r="N14" s="38">
        <v>20</v>
      </c>
      <c r="O14" s="19" t="e">
        <f>(#REF!+L14)/D14</f>
        <v>#REF!</v>
      </c>
      <c r="P14" s="19">
        <f t="shared" si="4"/>
        <v>0.25267665952890783</v>
      </c>
      <c r="Q14" s="19">
        <f t="shared" si="5"/>
        <v>-0.14346895074946472</v>
      </c>
      <c r="R14" s="19" t="e">
        <f t="shared" si="6"/>
        <v>#REF!</v>
      </c>
      <c r="S14" s="20">
        <f t="shared" si="7"/>
        <v>203</v>
      </c>
      <c r="T14" s="21">
        <f t="shared" si="8"/>
        <v>-4.179999999999999</v>
      </c>
      <c r="U14" s="43">
        <f t="shared" si="9"/>
        <v>0.3446023405713623</v>
      </c>
      <c r="V14" s="38">
        <v>30</v>
      </c>
      <c r="W14" s="19">
        <f t="shared" si="10"/>
        <v>0.5692329321181275</v>
      </c>
      <c r="X14" s="19">
        <f t="shared" si="13"/>
        <v>1.2154408402450798</v>
      </c>
      <c r="Y14" s="38">
        <v>35</v>
      </c>
      <c r="Z14" s="19">
        <f t="shared" si="11"/>
        <v>1.2569451126183528</v>
      </c>
      <c r="AA14" s="19">
        <f t="shared" si="12"/>
        <v>1.899102580009966</v>
      </c>
      <c r="AB14" s="19"/>
      <c r="AC14" s="19"/>
      <c r="AD14" s="19"/>
      <c r="AE14" s="19"/>
      <c r="AF14" s="21"/>
      <c r="AG14" s="24"/>
      <c r="AH14" s="19"/>
      <c r="AI14" s="38"/>
      <c r="AK14" s="25"/>
      <c r="AL14" s="26"/>
    </row>
    <row r="16" spans="2:38" s="23" customFormat="1" ht="12.75">
      <c r="B16" s="16"/>
      <c r="D16" s="21"/>
      <c r="E16" s="17"/>
      <c r="F16" s="19"/>
      <c r="G16" s="17"/>
      <c r="H16" s="43"/>
      <c r="I16" s="17"/>
      <c r="J16" s="18"/>
      <c r="K16" s="16"/>
      <c r="L16" s="17"/>
      <c r="M16" s="17"/>
      <c r="N16" s="38"/>
      <c r="O16" s="19"/>
      <c r="P16" s="19"/>
      <c r="Q16" s="19"/>
      <c r="R16" s="19"/>
      <c r="S16" s="20"/>
      <c r="T16" s="19"/>
      <c r="U16" s="19"/>
      <c r="V16" s="19"/>
      <c r="W16" s="19"/>
      <c r="X16" s="19"/>
      <c r="Y16" s="19"/>
      <c r="Z16" s="36"/>
      <c r="AA16" s="19"/>
      <c r="AB16" s="19"/>
      <c r="AC16" s="19"/>
      <c r="AD16" s="19"/>
      <c r="AE16" s="19"/>
      <c r="AF16" s="21"/>
      <c r="AG16" s="24"/>
      <c r="AH16" s="19"/>
      <c r="AI16" s="38"/>
      <c r="AK16" s="25"/>
      <c r="AL16" s="26"/>
    </row>
    <row r="17" spans="2:38" s="23" customFormat="1" ht="12.75">
      <c r="B17" s="16"/>
      <c r="D17" s="21"/>
      <c r="E17" s="17"/>
      <c r="F17" s="19"/>
      <c r="G17" s="17"/>
      <c r="H17" s="43"/>
      <c r="I17" s="17"/>
      <c r="J17" s="18"/>
      <c r="K17" s="16"/>
      <c r="L17" s="17"/>
      <c r="M17" s="17"/>
      <c r="N17" s="38"/>
      <c r="O17" s="19"/>
      <c r="P17" s="19"/>
      <c r="Q17" s="19"/>
      <c r="R17" s="19"/>
      <c r="S17" s="20"/>
      <c r="T17" s="19"/>
      <c r="U17" s="19"/>
      <c r="V17" s="19"/>
      <c r="W17" s="19"/>
      <c r="X17" s="19"/>
      <c r="Y17" s="19"/>
      <c r="Z17" s="36"/>
      <c r="AA17" s="19"/>
      <c r="AB17" s="19"/>
      <c r="AC17" s="19"/>
      <c r="AD17" s="19"/>
      <c r="AE17" s="19"/>
      <c r="AF17" s="21"/>
      <c r="AG17" s="24"/>
      <c r="AH17" s="19"/>
      <c r="AI17" s="38"/>
      <c r="AK17" s="25"/>
      <c r="AL17" s="26"/>
    </row>
    <row r="19" spans="2:38" s="23" customFormat="1" ht="12.75">
      <c r="B19" s="16"/>
      <c r="D19" s="21"/>
      <c r="E19" s="17"/>
      <c r="F19" s="19"/>
      <c r="G19" s="17"/>
      <c r="H19" s="43"/>
      <c r="I19" s="17"/>
      <c r="J19" s="18"/>
      <c r="K19" s="16"/>
      <c r="L19" s="17"/>
      <c r="M19" s="17"/>
      <c r="N19" s="38"/>
      <c r="O19" s="19"/>
      <c r="P19" s="19"/>
      <c r="Q19" s="19"/>
      <c r="R19" s="19"/>
      <c r="S19" s="20"/>
      <c r="T19" s="19"/>
      <c r="U19" s="19"/>
      <c r="V19" s="19"/>
      <c r="W19" s="19"/>
      <c r="X19" s="19"/>
      <c r="Y19" s="19"/>
      <c r="Z19" s="36"/>
      <c r="AA19" s="19"/>
      <c r="AB19" s="19"/>
      <c r="AC19" s="19"/>
      <c r="AD19" s="19"/>
      <c r="AE19" s="19"/>
      <c r="AF19" s="21"/>
      <c r="AG19" s="24"/>
      <c r="AH19" s="19"/>
      <c r="AI19" s="38"/>
      <c r="AK19" s="25"/>
      <c r="AL19" s="26"/>
    </row>
    <row r="20" spans="2:38" s="23" customFormat="1" ht="12.75">
      <c r="B20" s="16"/>
      <c r="D20" s="21"/>
      <c r="E20" s="17"/>
      <c r="F20" s="19"/>
      <c r="G20" s="17"/>
      <c r="H20" s="43"/>
      <c r="I20" s="17"/>
      <c r="J20" s="18"/>
      <c r="K20" s="16"/>
      <c r="L20" s="17"/>
      <c r="M20" s="17"/>
      <c r="N20" s="38"/>
      <c r="O20" s="19"/>
      <c r="P20" s="19"/>
      <c r="Q20" s="19"/>
      <c r="R20" s="19"/>
      <c r="S20" s="20"/>
      <c r="T20" s="19"/>
      <c r="U20" s="19"/>
      <c r="V20" s="19"/>
      <c r="W20" s="19"/>
      <c r="X20" s="19"/>
      <c r="Y20" s="19"/>
      <c r="Z20" s="36"/>
      <c r="AA20" s="19"/>
      <c r="AB20" s="19"/>
      <c r="AC20" s="19"/>
      <c r="AD20" s="19"/>
      <c r="AE20" s="19"/>
      <c r="AF20" s="21"/>
      <c r="AG20" s="24"/>
      <c r="AH20" s="19"/>
      <c r="AI20" s="38"/>
      <c r="AK20" s="25"/>
      <c r="AL20" s="26"/>
    </row>
    <row r="21" spans="2:38" s="23" customFormat="1" ht="12.75">
      <c r="B21" s="16"/>
      <c r="D21" s="21"/>
      <c r="E21" s="17"/>
      <c r="F21" s="19"/>
      <c r="G21" s="17"/>
      <c r="H21" s="43"/>
      <c r="I21" s="17"/>
      <c r="J21" s="18"/>
      <c r="K21" s="16"/>
      <c r="L21" s="17"/>
      <c r="M21" s="17"/>
      <c r="N21" s="38"/>
      <c r="O21" s="19"/>
      <c r="P21" s="19"/>
      <c r="Q21" s="19"/>
      <c r="R21" s="19"/>
      <c r="S21" s="20"/>
      <c r="T21" s="19"/>
      <c r="U21" s="19"/>
      <c r="V21" s="19"/>
      <c r="W21" s="19"/>
      <c r="X21" s="19"/>
      <c r="Y21" s="19"/>
      <c r="Z21" s="36"/>
      <c r="AA21" s="19"/>
      <c r="AB21" s="19"/>
      <c r="AC21" s="19"/>
      <c r="AD21" s="19"/>
      <c r="AE21" s="19"/>
      <c r="AF21" s="21"/>
      <c r="AG21" s="24"/>
      <c r="AH21" s="19"/>
      <c r="AI21" s="38"/>
      <c r="AK21" s="25"/>
      <c r="AL21" s="26"/>
    </row>
    <row r="22" spans="2:38" s="23" customFormat="1" ht="12.75">
      <c r="B22" s="16"/>
      <c r="D22" s="21"/>
      <c r="E22" s="17"/>
      <c r="F22" s="19"/>
      <c r="G22" s="17"/>
      <c r="H22" s="43"/>
      <c r="I22" s="17"/>
      <c r="J22" s="18"/>
      <c r="K22" s="16"/>
      <c r="L22" s="17"/>
      <c r="M22" s="17"/>
      <c r="N22" s="38"/>
      <c r="O22" s="19"/>
      <c r="P22" s="19"/>
      <c r="Q22" s="19"/>
      <c r="R22" s="19"/>
      <c r="S22" s="20"/>
      <c r="T22" s="19"/>
      <c r="U22" s="19"/>
      <c r="V22" s="19"/>
      <c r="W22" s="19"/>
      <c r="X22" s="19"/>
      <c r="Y22" s="19"/>
      <c r="Z22" s="36"/>
      <c r="AA22" s="19"/>
      <c r="AB22" s="19"/>
      <c r="AC22" s="19"/>
      <c r="AD22" s="19"/>
      <c r="AE22" s="19"/>
      <c r="AF22" s="21"/>
      <c r="AG22" s="24"/>
      <c r="AH22" s="19"/>
      <c r="AI22" s="38"/>
      <c r="AK22" s="25"/>
      <c r="AL22" s="2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X50"/>
    </sheetView>
  </sheetViews>
  <sheetFormatPr defaultColWidth="9.140625" defaultRowHeight="12.75"/>
  <cols>
    <col min="2" max="2" width="21.421875" style="0" customWidth="1"/>
    <col min="19" max="19" width="8.140625" style="0" customWidth="1"/>
  </cols>
  <sheetData>
    <row r="1" spans="1:24" ht="12.75">
      <c r="A1" t="s">
        <v>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</row>
    <row r="2" spans="1:24" ht="12.75">
      <c r="A2" t="s">
        <v>30</v>
      </c>
      <c r="B2" t="s">
        <v>76</v>
      </c>
      <c r="C2" t="s">
        <v>74</v>
      </c>
      <c r="D2" t="s">
        <v>77</v>
      </c>
      <c r="E2" s="40">
        <v>74212930000</v>
      </c>
      <c r="F2" s="40">
        <v>1545459000</v>
      </c>
      <c r="G2">
        <v>47.43</v>
      </c>
      <c r="H2">
        <v>60.78</v>
      </c>
      <c r="I2">
        <v>41.27</v>
      </c>
      <c r="J2">
        <v>1.6</v>
      </c>
      <c r="K2">
        <v>3.33</v>
      </c>
      <c r="L2">
        <v>67.6</v>
      </c>
      <c r="M2">
        <v>44.43</v>
      </c>
      <c r="N2">
        <v>50.48</v>
      </c>
      <c r="P2">
        <v>17.76</v>
      </c>
      <c r="Q2">
        <v>3.45</v>
      </c>
      <c r="R2">
        <v>3.03</v>
      </c>
      <c r="S2">
        <v>9</v>
      </c>
      <c r="T2">
        <v>13.58</v>
      </c>
      <c r="U2">
        <v>-0.7</v>
      </c>
      <c r="V2">
        <v>8</v>
      </c>
      <c r="W2" t="s">
        <v>78</v>
      </c>
      <c r="X2">
        <v>3.68</v>
      </c>
    </row>
    <row r="3" spans="1:24" ht="12.75">
      <c r="A3" t="s">
        <v>226</v>
      </c>
      <c r="B3" t="s">
        <v>227</v>
      </c>
      <c r="C3" t="s">
        <v>74</v>
      </c>
      <c r="D3" t="s">
        <v>228</v>
      </c>
      <c r="E3" s="40">
        <v>17361840000</v>
      </c>
      <c r="F3" s="40">
        <v>501642200</v>
      </c>
      <c r="G3">
        <v>34.69</v>
      </c>
      <c r="H3">
        <v>45.97</v>
      </c>
      <c r="I3">
        <v>30.83</v>
      </c>
      <c r="J3">
        <v>1.32</v>
      </c>
      <c r="K3">
        <v>3.81</v>
      </c>
      <c r="L3">
        <v>77.7</v>
      </c>
      <c r="M3">
        <v>36.36</v>
      </c>
      <c r="N3">
        <v>36.98</v>
      </c>
      <c r="P3">
        <v>13.46</v>
      </c>
      <c r="Q3">
        <v>2.38</v>
      </c>
      <c r="R3">
        <v>2.2</v>
      </c>
      <c r="S3">
        <v>7</v>
      </c>
      <c r="T3">
        <v>2.67</v>
      </c>
      <c r="U3">
        <v>2.9</v>
      </c>
      <c r="V3">
        <v>18.29</v>
      </c>
      <c r="W3" t="s">
        <v>79</v>
      </c>
      <c r="X3">
        <v>2.39</v>
      </c>
    </row>
    <row r="4" spans="1:24" ht="12.75">
      <c r="A4" t="s">
        <v>26</v>
      </c>
      <c r="B4" t="s">
        <v>166</v>
      </c>
      <c r="C4" t="s">
        <v>74</v>
      </c>
      <c r="D4" t="s">
        <v>83</v>
      </c>
      <c r="E4" s="40">
        <v>79076630000</v>
      </c>
      <c r="F4" s="40">
        <v>6402966000</v>
      </c>
      <c r="G4">
        <v>12.75</v>
      </c>
      <c r="H4">
        <v>39.5</v>
      </c>
      <c r="I4">
        <v>2.53</v>
      </c>
      <c r="J4">
        <v>0.04</v>
      </c>
      <c r="K4">
        <v>0.32</v>
      </c>
      <c r="L4">
        <v>42.1</v>
      </c>
      <c r="M4">
        <v>11.24</v>
      </c>
      <c r="N4">
        <v>13.83</v>
      </c>
      <c r="P4">
        <v>7.7</v>
      </c>
      <c r="Q4">
        <v>0.83</v>
      </c>
      <c r="R4">
        <v>0.55</v>
      </c>
      <c r="S4">
        <v>3</v>
      </c>
      <c r="T4">
        <v>-24.98</v>
      </c>
      <c r="U4">
        <v>1.4</v>
      </c>
      <c r="V4">
        <v>9.24</v>
      </c>
      <c r="W4" t="s">
        <v>80</v>
      </c>
      <c r="X4">
        <v>0.55</v>
      </c>
    </row>
    <row r="5" spans="1:24" ht="12.75">
      <c r="A5" t="s">
        <v>46</v>
      </c>
      <c r="B5" t="s">
        <v>161</v>
      </c>
      <c r="C5" t="s">
        <v>74</v>
      </c>
      <c r="D5" t="s">
        <v>84</v>
      </c>
      <c r="E5" s="40">
        <v>8210504000</v>
      </c>
      <c r="F5" s="40">
        <v>267356000</v>
      </c>
      <c r="G5">
        <v>30.49</v>
      </c>
      <c r="H5">
        <v>88.69</v>
      </c>
      <c r="I5">
        <v>16</v>
      </c>
      <c r="J5">
        <v>0.24</v>
      </c>
      <c r="K5">
        <v>0.78</v>
      </c>
      <c r="L5">
        <v>79</v>
      </c>
      <c r="M5">
        <v>30.83</v>
      </c>
      <c r="N5">
        <v>29.28</v>
      </c>
      <c r="P5">
        <v>15.52</v>
      </c>
      <c r="Q5">
        <v>3.89</v>
      </c>
      <c r="R5">
        <v>3.63</v>
      </c>
      <c r="S5">
        <v>6</v>
      </c>
      <c r="T5">
        <v>88.4</v>
      </c>
      <c r="U5">
        <v>15.3</v>
      </c>
      <c r="V5">
        <v>16.36</v>
      </c>
      <c r="W5" t="s">
        <v>85</v>
      </c>
      <c r="X5">
        <v>2.16</v>
      </c>
    </row>
    <row r="6" spans="1:24" ht="12.75">
      <c r="A6" t="s">
        <v>45</v>
      </c>
      <c r="B6" t="s">
        <v>167</v>
      </c>
      <c r="C6" t="s">
        <v>74</v>
      </c>
      <c r="D6" t="s">
        <v>126</v>
      </c>
      <c r="E6" s="40">
        <v>12279220000</v>
      </c>
      <c r="F6" s="40">
        <v>626171200</v>
      </c>
      <c r="G6">
        <v>19.64</v>
      </c>
      <c r="H6">
        <v>74</v>
      </c>
      <c r="I6">
        <v>9.84</v>
      </c>
      <c r="J6">
        <v>0.3</v>
      </c>
      <c r="K6">
        <v>1.53</v>
      </c>
      <c r="L6">
        <v>71.6</v>
      </c>
      <c r="M6">
        <v>21.51</v>
      </c>
      <c r="N6">
        <v>20.49</v>
      </c>
      <c r="O6" s="40">
        <v>-2500</v>
      </c>
      <c r="P6">
        <v>-40.67</v>
      </c>
      <c r="Q6">
        <v>-8.69</v>
      </c>
      <c r="R6">
        <v>1.14</v>
      </c>
      <c r="S6">
        <v>4</v>
      </c>
      <c r="T6">
        <v>16.68</v>
      </c>
      <c r="U6">
        <v>23.8</v>
      </c>
      <c r="V6">
        <v>16.72</v>
      </c>
      <c r="W6" t="s">
        <v>85</v>
      </c>
      <c r="X6">
        <v>2.11</v>
      </c>
    </row>
    <row r="7" spans="1:24" ht="12.75">
      <c r="A7" t="s">
        <v>24</v>
      </c>
      <c r="B7" t="s">
        <v>204</v>
      </c>
      <c r="C7" t="s">
        <v>74</v>
      </c>
      <c r="D7" t="s">
        <v>81</v>
      </c>
      <c r="E7" s="40">
        <v>35688910000</v>
      </c>
      <c r="F7" s="40">
        <v>499564800</v>
      </c>
      <c r="G7">
        <v>71.76</v>
      </c>
      <c r="H7">
        <v>80.49</v>
      </c>
      <c r="I7">
        <v>54.36</v>
      </c>
      <c r="J7">
        <v>1.76</v>
      </c>
      <c r="K7">
        <v>2.46</v>
      </c>
      <c r="L7">
        <v>69.6</v>
      </c>
      <c r="M7">
        <v>65.18</v>
      </c>
      <c r="N7">
        <v>64.08</v>
      </c>
      <c r="O7" s="40">
        <v>-2000</v>
      </c>
      <c r="P7">
        <v>13.41</v>
      </c>
      <c r="Q7">
        <v>3.76</v>
      </c>
      <c r="R7">
        <v>3.66</v>
      </c>
      <c r="S7">
        <v>8</v>
      </c>
      <c r="T7">
        <v>6.68</v>
      </c>
      <c r="U7">
        <v>-5.7</v>
      </c>
      <c r="V7">
        <v>11.63</v>
      </c>
      <c r="W7" t="s">
        <v>82</v>
      </c>
      <c r="X7">
        <v>4.21</v>
      </c>
    </row>
    <row r="8" spans="1:24" ht="12.75">
      <c r="A8" t="s">
        <v>16</v>
      </c>
      <c r="B8" t="s">
        <v>86</v>
      </c>
      <c r="C8" t="s">
        <v>74</v>
      </c>
      <c r="D8" t="s">
        <v>87</v>
      </c>
      <c r="E8" s="40">
        <v>61869700000</v>
      </c>
      <c r="F8" s="40">
        <v>1481554000</v>
      </c>
      <c r="G8">
        <v>41.62</v>
      </c>
      <c r="H8">
        <v>94.65</v>
      </c>
      <c r="I8">
        <v>34.12</v>
      </c>
      <c r="J8">
        <v>1.88</v>
      </c>
      <c r="K8">
        <v>4.5</v>
      </c>
      <c r="L8">
        <v>73.1</v>
      </c>
      <c r="M8">
        <v>43.48</v>
      </c>
      <c r="N8">
        <v>48.33</v>
      </c>
      <c r="P8">
        <v>-9.18</v>
      </c>
      <c r="Q8">
        <v>-13.93</v>
      </c>
      <c r="R8">
        <v>-11.16</v>
      </c>
      <c r="S8">
        <v>7</v>
      </c>
      <c r="U8">
        <v>-44.7</v>
      </c>
      <c r="V8">
        <v>18.2</v>
      </c>
      <c r="W8" t="s">
        <v>85</v>
      </c>
      <c r="X8">
        <v>3.22</v>
      </c>
    </row>
    <row r="9" spans="1:24" ht="12.75">
      <c r="A9" t="s">
        <v>137</v>
      </c>
      <c r="B9" t="s">
        <v>138</v>
      </c>
      <c r="C9" t="s">
        <v>74</v>
      </c>
      <c r="D9" t="s">
        <v>139</v>
      </c>
      <c r="E9" s="40">
        <v>109762800000</v>
      </c>
      <c r="F9" s="40">
        <v>5767880000</v>
      </c>
      <c r="G9">
        <v>18.91</v>
      </c>
      <c r="H9">
        <v>25.25</v>
      </c>
      <c r="I9">
        <v>13.61</v>
      </c>
      <c r="J9">
        <v>0</v>
      </c>
      <c r="K9">
        <v>0</v>
      </c>
      <c r="L9">
        <v>72</v>
      </c>
      <c r="M9">
        <v>18.83</v>
      </c>
      <c r="N9">
        <v>17.63</v>
      </c>
      <c r="P9">
        <v>18.62</v>
      </c>
      <c r="Q9">
        <v>1.19</v>
      </c>
      <c r="R9">
        <v>1.31</v>
      </c>
      <c r="S9">
        <v>8</v>
      </c>
      <c r="T9">
        <v>17.61</v>
      </c>
      <c r="U9">
        <v>-5.5</v>
      </c>
      <c r="W9" t="s">
        <v>79</v>
      </c>
      <c r="X9">
        <v>1.16</v>
      </c>
    </row>
    <row r="10" spans="1:24" ht="12.75">
      <c r="A10" t="s">
        <v>43</v>
      </c>
      <c r="B10" t="s">
        <v>114</v>
      </c>
      <c r="C10" t="s">
        <v>74</v>
      </c>
      <c r="D10" t="s">
        <v>88</v>
      </c>
      <c r="E10" s="40">
        <v>45423490000</v>
      </c>
      <c r="F10" s="40">
        <v>1455881000</v>
      </c>
      <c r="G10">
        <v>31.36</v>
      </c>
      <c r="H10">
        <v>40.74</v>
      </c>
      <c r="I10">
        <v>23.19</v>
      </c>
      <c r="J10">
        <v>0.31</v>
      </c>
      <c r="K10">
        <v>0.98</v>
      </c>
      <c r="L10">
        <v>83</v>
      </c>
      <c r="M10">
        <v>30.77</v>
      </c>
      <c r="N10">
        <v>29.24</v>
      </c>
      <c r="O10" s="40">
        <v>-284000</v>
      </c>
      <c r="P10">
        <v>3.73</v>
      </c>
      <c r="Q10">
        <v>2.18</v>
      </c>
      <c r="R10">
        <v>2.27</v>
      </c>
      <c r="S10">
        <v>8</v>
      </c>
      <c r="T10">
        <v>31.94</v>
      </c>
      <c r="U10">
        <v>9.7</v>
      </c>
      <c r="V10">
        <v>17.54</v>
      </c>
      <c r="W10" t="s">
        <v>89</v>
      </c>
      <c r="X10">
        <v>2.59</v>
      </c>
    </row>
    <row r="11" spans="1:24" ht="12.75">
      <c r="A11" t="s">
        <v>39</v>
      </c>
      <c r="B11" t="s">
        <v>168</v>
      </c>
      <c r="C11" t="s">
        <v>74</v>
      </c>
      <c r="D11" t="s">
        <v>87</v>
      </c>
      <c r="E11" s="40">
        <v>134052400000</v>
      </c>
      <c r="F11" s="40">
        <v>2004672000</v>
      </c>
      <c r="G11">
        <v>65.95</v>
      </c>
      <c r="H11">
        <v>100.22</v>
      </c>
      <c r="I11">
        <v>55.5</v>
      </c>
      <c r="J11">
        <v>2.6</v>
      </c>
      <c r="K11">
        <v>3.89</v>
      </c>
      <c r="L11">
        <v>62.3</v>
      </c>
      <c r="M11">
        <v>67.33</v>
      </c>
      <c r="N11">
        <v>70.36</v>
      </c>
      <c r="P11">
        <v>8.48</v>
      </c>
      <c r="Q11">
        <v>10.1</v>
      </c>
      <c r="R11">
        <v>11.67</v>
      </c>
      <c r="S11">
        <v>6</v>
      </c>
      <c r="T11">
        <v>25.94</v>
      </c>
      <c r="U11">
        <v>-45.2</v>
      </c>
      <c r="V11">
        <v>12.09</v>
      </c>
      <c r="W11" t="s">
        <v>85</v>
      </c>
      <c r="X11">
        <v>4.61</v>
      </c>
    </row>
    <row r="12" spans="1:24" ht="12.75">
      <c r="A12" t="s">
        <v>162</v>
      </c>
      <c r="B12" t="s">
        <v>163</v>
      </c>
      <c r="C12" t="s">
        <v>74</v>
      </c>
      <c r="D12" t="s">
        <v>164</v>
      </c>
      <c r="E12" s="40">
        <v>36199970000</v>
      </c>
      <c r="F12" s="40">
        <v>624892700</v>
      </c>
      <c r="G12">
        <v>58.18</v>
      </c>
      <c r="H12">
        <v>77.58</v>
      </c>
      <c r="I12">
        <v>40.93</v>
      </c>
      <c r="J12">
        <v>1.64</v>
      </c>
      <c r="K12">
        <v>2.83</v>
      </c>
      <c r="L12">
        <v>15.9</v>
      </c>
      <c r="M12">
        <v>52.54</v>
      </c>
      <c r="N12">
        <v>54.49</v>
      </c>
      <c r="P12">
        <v>19.82</v>
      </c>
      <c r="Q12">
        <v>4.36</v>
      </c>
      <c r="R12">
        <v>3.77</v>
      </c>
      <c r="T12">
        <v>28.06</v>
      </c>
      <c r="U12">
        <v>18.2</v>
      </c>
      <c r="V12">
        <v>6.06</v>
      </c>
      <c r="X12">
        <v>4.17</v>
      </c>
    </row>
    <row r="13" spans="1:24" ht="12.75">
      <c r="A13" t="s">
        <v>219</v>
      </c>
      <c r="B13" t="s">
        <v>220</v>
      </c>
      <c r="C13" t="s">
        <v>74</v>
      </c>
      <c r="D13" t="s">
        <v>221</v>
      </c>
      <c r="E13" s="40">
        <v>1496917000</v>
      </c>
      <c r="F13" s="40">
        <v>257645000</v>
      </c>
      <c r="G13">
        <v>6.06</v>
      </c>
      <c r="H13">
        <v>84.73</v>
      </c>
      <c r="I13">
        <v>2.72</v>
      </c>
      <c r="J13">
        <v>0</v>
      </c>
      <c r="K13">
        <v>0</v>
      </c>
      <c r="L13">
        <v>12.5</v>
      </c>
      <c r="M13">
        <v>7.07</v>
      </c>
      <c r="N13">
        <v>12.22</v>
      </c>
      <c r="P13">
        <v>-58.83</v>
      </c>
      <c r="Q13">
        <v>-13.62</v>
      </c>
      <c r="R13">
        <v>-8.1</v>
      </c>
      <c r="U13">
        <v>-15.3</v>
      </c>
      <c r="X13">
        <v>0.98</v>
      </c>
    </row>
    <row r="14" spans="1:24" ht="12.75">
      <c r="A14" t="s">
        <v>105</v>
      </c>
      <c r="B14" t="s">
        <v>169</v>
      </c>
      <c r="C14" t="s">
        <v>74</v>
      </c>
      <c r="D14" t="s">
        <v>106</v>
      </c>
      <c r="E14" s="40">
        <v>18830530000</v>
      </c>
      <c r="F14" s="40">
        <v>1287118000</v>
      </c>
      <c r="G14">
        <v>14.41</v>
      </c>
      <c r="H14">
        <v>19.1</v>
      </c>
      <c r="I14">
        <v>11.72</v>
      </c>
      <c r="J14">
        <v>0.96</v>
      </c>
      <c r="K14">
        <v>6.56</v>
      </c>
      <c r="L14">
        <v>51.1</v>
      </c>
      <c r="M14">
        <v>14.05</v>
      </c>
      <c r="N14">
        <v>14.9</v>
      </c>
      <c r="O14" s="40">
        <v>-16677</v>
      </c>
      <c r="P14">
        <v>8.82</v>
      </c>
      <c r="Q14">
        <v>0.98</v>
      </c>
      <c r="R14">
        <v>1.01</v>
      </c>
      <c r="S14">
        <v>7</v>
      </c>
      <c r="T14">
        <v>86.95</v>
      </c>
      <c r="U14">
        <v>-0.7</v>
      </c>
      <c r="V14">
        <v>-3.93</v>
      </c>
      <c r="W14" t="s">
        <v>107</v>
      </c>
      <c r="X14">
        <v>1.21</v>
      </c>
    </row>
    <row r="15" spans="1:24" ht="12.75">
      <c r="A15" t="s">
        <v>174</v>
      </c>
      <c r="B15" t="s">
        <v>175</v>
      </c>
      <c r="C15" t="s">
        <v>74</v>
      </c>
      <c r="D15" t="s">
        <v>126</v>
      </c>
      <c r="E15" s="40">
        <v>11439870000</v>
      </c>
      <c r="F15" s="40">
        <v>455590200</v>
      </c>
      <c r="G15">
        <v>25.29</v>
      </c>
      <c r="H15">
        <v>30.07</v>
      </c>
      <c r="I15">
        <v>16</v>
      </c>
      <c r="J15">
        <v>2.15</v>
      </c>
      <c r="K15">
        <v>8.56</v>
      </c>
      <c r="L15">
        <v>22.9</v>
      </c>
      <c r="M15">
        <v>24.89</v>
      </c>
      <c r="N15">
        <v>22.82</v>
      </c>
      <c r="P15">
        <v>4.89</v>
      </c>
      <c r="Q15">
        <v>1.75</v>
      </c>
      <c r="R15">
        <v>1.86</v>
      </c>
      <c r="S15">
        <v>7</v>
      </c>
      <c r="T15">
        <v>57.47</v>
      </c>
      <c r="U15">
        <v>-39.8</v>
      </c>
      <c r="V15">
        <v>7.54</v>
      </c>
      <c r="W15" t="s">
        <v>85</v>
      </c>
      <c r="X15">
        <v>1.73</v>
      </c>
    </row>
    <row r="16" spans="1:24" ht="12.75">
      <c r="A16" t="s">
        <v>90</v>
      </c>
      <c r="B16" t="s">
        <v>173</v>
      </c>
      <c r="C16" t="s">
        <v>74</v>
      </c>
      <c r="D16" t="s">
        <v>127</v>
      </c>
      <c r="E16" s="40">
        <v>729403400</v>
      </c>
      <c r="F16" s="40">
        <v>34949850</v>
      </c>
      <c r="G16">
        <v>20.5</v>
      </c>
      <c r="H16">
        <v>69.02</v>
      </c>
      <c r="I16">
        <v>11.88</v>
      </c>
      <c r="J16">
        <v>2.6</v>
      </c>
      <c r="K16">
        <v>12.46</v>
      </c>
      <c r="L16">
        <v>91.4</v>
      </c>
      <c r="M16">
        <v>21.46</v>
      </c>
      <c r="N16">
        <v>26.86</v>
      </c>
      <c r="Q16">
        <v>3.28</v>
      </c>
      <c r="R16">
        <v>3.28</v>
      </c>
      <c r="S16">
        <v>6</v>
      </c>
      <c r="T16">
        <v>25.9</v>
      </c>
      <c r="U16">
        <v>1.3</v>
      </c>
      <c r="V16">
        <v>10.93</v>
      </c>
      <c r="W16" t="s">
        <v>80</v>
      </c>
      <c r="X16">
        <v>3.47</v>
      </c>
    </row>
    <row r="17" spans="1:24" ht="12.75">
      <c r="A17" t="s">
        <v>91</v>
      </c>
      <c r="B17" t="s">
        <v>205</v>
      </c>
      <c r="C17" t="s">
        <v>74</v>
      </c>
      <c r="D17" t="s">
        <v>147</v>
      </c>
      <c r="E17" s="40">
        <v>3489026000</v>
      </c>
      <c r="F17" s="40">
        <v>165828000</v>
      </c>
      <c r="G17">
        <v>21.13</v>
      </c>
      <c r="H17">
        <v>47.5</v>
      </c>
      <c r="I17">
        <v>12.85</v>
      </c>
      <c r="J17">
        <v>1.86</v>
      </c>
      <c r="K17">
        <v>8.84</v>
      </c>
      <c r="L17">
        <v>23.6</v>
      </c>
      <c r="M17">
        <v>21.58</v>
      </c>
      <c r="N17">
        <v>22.11</v>
      </c>
      <c r="P17">
        <v>42.08</v>
      </c>
      <c r="Q17">
        <v>4.27</v>
      </c>
      <c r="R17">
        <v>-0.56</v>
      </c>
      <c r="T17">
        <v>29.08</v>
      </c>
      <c r="U17">
        <v>-8.7</v>
      </c>
      <c r="V17">
        <v>2.89</v>
      </c>
      <c r="X17">
        <v>0.74</v>
      </c>
    </row>
    <row r="18" spans="1:24" ht="12.75">
      <c r="A18" t="s">
        <v>222</v>
      </c>
      <c r="B18" t="s">
        <v>223</v>
      </c>
      <c r="C18" t="s">
        <v>74</v>
      </c>
      <c r="D18" t="s">
        <v>224</v>
      </c>
      <c r="E18" s="40">
        <v>4026699000</v>
      </c>
      <c r="F18" s="40">
        <v>56027540</v>
      </c>
      <c r="G18">
        <v>71.5</v>
      </c>
      <c r="H18">
        <v>145.45</v>
      </c>
      <c r="I18">
        <v>37.18</v>
      </c>
      <c r="J18">
        <v>1.08</v>
      </c>
      <c r="K18">
        <v>1.5</v>
      </c>
      <c r="L18">
        <v>90.7</v>
      </c>
      <c r="M18">
        <v>71.44</v>
      </c>
      <c r="N18">
        <v>61.2</v>
      </c>
      <c r="P18">
        <v>9.93</v>
      </c>
      <c r="Q18">
        <v>7.85</v>
      </c>
      <c r="R18">
        <v>7.74</v>
      </c>
      <c r="S18">
        <v>7</v>
      </c>
      <c r="T18">
        <v>54.36</v>
      </c>
      <c r="U18">
        <v>3.2</v>
      </c>
      <c r="W18" t="s">
        <v>93</v>
      </c>
      <c r="X18">
        <v>7.32</v>
      </c>
    </row>
    <row r="19" spans="1:24" ht="12.75">
      <c r="A19" t="s">
        <v>40</v>
      </c>
      <c r="B19" t="s">
        <v>206</v>
      </c>
      <c r="C19" t="s">
        <v>74</v>
      </c>
      <c r="D19" t="s">
        <v>92</v>
      </c>
      <c r="E19" s="40">
        <v>125592400000</v>
      </c>
      <c r="F19" s="40">
        <v>10589580000</v>
      </c>
      <c r="G19">
        <v>11.75</v>
      </c>
      <c r="H19">
        <v>30.39</v>
      </c>
      <c r="I19">
        <v>5.73</v>
      </c>
      <c r="J19">
        <v>0.4</v>
      </c>
      <c r="K19">
        <v>3.37</v>
      </c>
      <c r="L19">
        <v>50.6</v>
      </c>
      <c r="M19">
        <v>12.91</v>
      </c>
      <c r="N19">
        <v>14.92</v>
      </c>
      <c r="P19">
        <v>9.42</v>
      </c>
      <c r="Q19">
        <v>1.55</v>
      </c>
      <c r="R19">
        <v>1.78</v>
      </c>
      <c r="S19">
        <v>7</v>
      </c>
      <c r="T19">
        <v>5.03</v>
      </c>
      <c r="U19">
        <v>-9</v>
      </c>
      <c r="V19">
        <v>10</v>
      </c>
      <c r="W19" t="s">
        <v>93</v>
      </c>
      <c r="X19">
        <v>0.99</v>
      </c>
    </row>
    <row r="20" spans="1:24" ht="12.75">
      <c r="A20" t="s">
        <v>95</v>
      </c>
      <c r="B20" t="s">
        <v>184</v>
      </c>
      <c r="C20" t="s">
        <v>74</v>
      </c>
      <c r="D20" t="s">
        <v>149</v>
      </c>
      <c r="E20" s="40">
        <v>3762829000</v>
      </c>
      <c r="F20" s="40">
        <v>111129000</v>
      </c>
      <c r="G20">
        <v>33.68</v>
      </c>
      <c r="H20">
        <v>53.98</v>
      </c>
      <c r="I20">
        <v>25.86</v>
      </c>
      <c r="J20">
        <v>2.72</v>
      </c>
      <c r="K20">
        <v>8.03</v>
      </c>
      <c r="L20">
        <v>90.1</v>
      </c>
      <c r="M20">
        <v>33.9</v>
      </c>
      <c r="N20">
        <v>37.18</v>
      </c>
      <c r="P20">
        <v>29.3</v>
      </c>
      <c r="Q20">
        <v>3.3</v>
      </c>
      <c r="R20">
        <v>1.35</v>
      </c>
      <c r="S20">
        <v>8</v>
      </c>
      <c r="T20">
        <v>16.28</v>
      </c>
      <c r="U20">
        <v>14</v>
      </c>
      <c r="V20">
        <v>2.9</v>
      </c>
      <c r="W20" t="s">
        <v>80</v>
      </c>
      <c r="X20">
        <v>3.17</v>
      </c>
    </row>
    <row r="21" spans="1:24" ht="12.75">
      <c r="A21" t="s">
        <v>18</v>
      </c>
      <c r="B21" t="s">
        <v>115</v>
      </c>
      <c r="C21" t="s">
        <v>74</v>
      </c>
      <c r="D21" t="s">
        <v>96</v>
      </c>
      <c r="E21" s="40">
        <v>40149010000</v>
      </c>
      <c r="F21" s="40">
        <v>1703395000</v>
      </c>
      <c r="G21">
        <v>23.61</v>
      </c>
      <c r="H21">
        <v>30.74</v>
      </c>
      <c r="I21">
        <v>17.05</v>
      </c>
      <c r="J21">
        <v>0.9</v>
      </c>
      <c r="K21">
        <v>3.82</v>
      </c>
      <c r="L21">
        <v>70.1</v>
      </c>
      <c r="M21">
        <v>24.62</v>
      </c>
      <c r="N21">
        <v>23.1</v>
      </c>
      <c r="P21">
        <v>3.55</v>
      </c>
      <c r="Q21">
        <v>1.43</v>
      </c>
      <c r="R21">
        <v>1.37</v>
      </c>
      <c r="S21">
        <v>4</v>
      </c>
      <c r="T21">
        <v>-11.69</v>
      </c>
      <c r="U21">
        <v>-9.7</v>
      </c>
      <c r="V21">
        <v>28.19</v>
      </c>
      <c r="W21" t="s">
        <v>89</v>
      </c>
      <c r="X21">
        <v>1.42</v>
      </c>
    </row>
    <row r="22" spans="1:24" ht="12.75">
      <c r="A22" t="s">
        <v>97</v>
      </c>
      <c r="B22" t="s">
        <v>176</v>
      </c>
      <c r="C22" t="s">
        <v>74</v>
      </c>
      <c r="D22" t="s">
        <v>127</v>
      </c>
      <c r="E22" s="40">
        <v>932759100</v>
      </c>
      <c r="F22" s="40">
        <v>223683200</v>
      </c>
      <c r="G22">
        <v>4.26</v>
      </c>
      <c r="H22">
        <v>8.33</v>
      </c>
      <c r="I22">
        <v>1.57</v>
      </c>
      <c r="J22">
        <v>0.48</v>
      </c>
      <c r="K22">
        <v>11.51</v>
      </c>
      <c r="L22">
        <v>55.1</v>
      </c>
      <c r="M22">
        <v>4.37</v>
      </c>
      <c r="N22">
        <v>3.94</v>
      </c>
      <c r="P22">
        <v>10.88</v>
      </c>
      <c r="Q22">
        <v>0.82</v>
      </c>
      <c r="R22">
        <v>0.14</v>
      </c>
      <c r="S22">
        <v>7</v>
      </c>
      <c r="T22">
        <v>-13.77</v>
      </c>
      <c r="U22">
        <v>7.8</v>
      </c>
      <c r="V22">
        <v>0.98</v>
      </c>
      <c r="W22" t="s">
        <v>80</v>
      </c>
      <c r="X22">
        <v>1.02</v>
      </c>
    </row>
    <row r="23" spans="1:24" ht="12.75">
      <c r="A23" t="s">
        <v>142</v>
      </c>
      <c r="B23" t="s">
        <v>143</v>
      </c>
      <c r="C23" t="s">
        <v>74</v>
      </c>
      <c r="D23" t="s">
        <v>144</v>
      </c>
      <c r="E23" s="40">
        <v>91091350000</v>
      </c>
      <c r="F23" s="40">
        <v>5585000000</v>
      </c>
      <c r="G23">
        <v>16.29</v>
      </c>
      <c r="H23">
        <v>24.75</v>
      </c>
      <c r="I23">
        <v>12.05</v>
      </c>
      <c r="J23">
        <v>0.56</v>
      </c>
      <c r="K23">
        <v>3.43</v>
      </c>
      <c r="L23">
        <v>63.7</v>
      </c>
      <c r="M23">
        <v>15.75</v>
      </c>
      <c r="N23">
        <v>15.07</v>
      </c>
      <c r="P23">
        <v>12.77</v>
      </c>
      <c r="Q23">
        <v>0.78</v>
      </c>
      <c r="R23">
        <v>0.92</v>
      </c>
      <c r="S23">
        <v>5</v>
      </c>
      <c r="T23">
        <v>-1.27</v>
      </c>
      <c r="U23">
        <v>-26.1</v>
      </c>
      <c r="V23">
        <v>46.91</v>
      </c>
      <c r="W23" t="s">
        <v>79</v>
      </c>
      <c r="X23">
        <v>0.54</v>
      </c>
    </row>
    <row r="24" spans="1:24" ht="12.75">
      <c r="A24" t="s">
        <v>215</v>
      </c>
      <c r="B24" t="s">
        <v>216</v>
      </c>
      <c r="C24" t="s">
        <v>74</v>
      </c>
      <c r="D24" t="s">
        <v>217</v>
      </c>
      <c r="E24" s="40">
        <v>5256631000</v>
      </c>
      <c r="F24" s="40">
        <v>123453000</v>
      </c>
      <c r="G24">
        <v>41.37</v>
      </c>
      <c r="H24">
        <v>86.89</v>
      </c>
      <c r="I24">
        <v>26</v>
      </c>
      <c r="J24">
        <v>0</v>
      </c>
      <c r="K24">
        <v>0</v>
      </c>
      <c r="L24">
        <v>81.8</v>
      </c>
      <c r="M24">
        <v>42.03</v>
      </c>
      <c r="N24">
        <v>41.97</v>
      </c>
      <c r="O24">
        <v>400</v>
      </c>
      <c r="P24">
        <v>3.64</v>
      </c>
      <c r="Q24">
        <v>3.61</v>
      </c>
      <c r="R24">
        <v>3.38</v>
      </c>
      <c r="S24">
        <v>7</v>
      </c>
      <c r="T24">
        <v>26.87</v>
      </c>
      <c r="U24">
        <v>20.9</v>
      </c>
      <c r="W24" t="s">
        <v>93</v>
      </c>
      <c r="X24">
        <v>3.35</v>
      </c>
    </row>
    <row r="25" spans="1:24" ht="12.75">
      <c r="A25" t="s">
        <v>38</v>
      </c>
      <c r="B25" t="s">
        <v>98</v>
      </c>
      <c r="C25" t="s">
        <v>74</v>
      </c>
      <c r="D25" t="s">
        <v>77</v>
      </c>
      <c r="E25" s="40">
        <v>155055700000</v>
      </c>
      <c r="F25" s="40">
        <v>2755566000</v>
      </c>
      <c r="G25">
        <v>56.6</v>
      </c>
      <c r="H25">
        <v>72.76</v>
      </c>
      <c r="I25">
        <v>46.25</v>
      </c>
      <c r="J25">
        <v>1.96</v>
      </c>
      <c r="K25">
        <v>3.48</v>
      </c>
      <c r="L25">
        <v>63.1</v>
      </c>
      <c r="M25">
        <v>54.45</v>
      </c>
      <c r="N25">
        <v>57.32</v>
      </c>
      <c r="P25">
        <v>20.55</v>
      </c>
      <c r="Q25">
        <v>4.56</v>
      </c>
      <c r="R25">
        <v>4.57</v>
      </c>
      <c r="S25">
        <v>9</v>
      </c>
      <c r="T25">
        <v>12.46</v>
      </c>
      <c r="U25">
        <v>-7.2</v>
      </c>
      <c r="V25">
        <v>14.18</v>
      </c>
      <c r="W25" t="s">
        <v>78</v>
      </c>
      <c r="X25">
        <v>4.5</v>
      </c>
    </row>
    <row r="26" spans="1:24" ht="12.75">
      <c r="A26" t="s">
        <v>181</v>
      </c>
      <c r="B26" t="s">
        <v>182</v>
      </c>
      <c r="C26" t="s">
        <v>74</v>
      </c>
      <c r="D26" t="s">
        <v>183</v>
      </c>
      <c r="E26" s="40">
        <v>110772700000</v>
      </c>
      <c r="F26" s="40">
        <v>2314998000</v>
      </c>
      <c r="G26">
        <v>48.13</v>
      </c>
      <c r="H26">
        <v>55.84</v>
      </c>
      <c r="I26">
        <v>37.44</v>
      </c>
      <c r="J26">
        <v>1.64</v>
      </c>
      <c r="K26">
        <v>3.43</v>
      </c>
      <c r="L26">
        <v>63.1</v>
      </c>
      <c r="M26">
        <v>46.06</v>
      </c>
      <c r="N26">
        <v>45.19</v>
      </c>
      <c r="P26">
        <v>17.85</v>
      </c>
      <c r="Q26">
        <v>2.43</v>
      </c>
      <c r="R26">
        <v>2.49</v>
      </c>
      <c r="S26">
        <v>7</v>
      </c>
      <c r="T26">
        <v>5.96</v>
      </c>
      <c r="U26">
        <v>-2.8</v>
      </c>
      <c r="V26">
        <v>11.55</v>
      </c>
      <c r="W26" t="s">
        <v>82</v>
      </c>
      <c r="X26">
        <v>3.04</v>
      </c>
    </row>
    <row r="27" spans="1:24" ht="12.75">
      <c r="A27" t="s">
        <v>20</v>
      </c>
      <c r="B27" t="s">
        <v>116</v>
      </c>
      <c r="C27" t="s">
        <v>74</v>
      </c>
      <c r="D27" t="s">
        <v>96</v>
      </c>
      <c r="E27" s="40">
        <v>27862010000</v>
      </c>
      <c r="F27" s="40">
        <v>1476524000</v>
      </c>
      <c r="G27">
        <v>19.22</v>
      </c>
      <c r="H27">
        <v>28.49</v>
      </c>
      <c r="I27">
        <v>13</v>
      </c>
      <c r="J27">
        <v>0.36</v>
      </c>
      <c r="K27">
        <v>1.91</v>
      </c>
      <c r="L27">
        <v>72.6</v>
      </c>
      <c r="M27">
        <v>19.87</v>
      </c>
      <c r="N27">
        <v>19.73</v>
      </c>
      <c r="O27" s="40">
        <v>-3000</v>
      </c>
      <c r="P27">
        <v>4.3</v>
      </c>
      <c r="Q27">
        <v>1.41</v>
      </c>
      <c r="R27">
        <v>1.49</v>
      </c>
      <c r="S27">
        <v>5</v>
      </c>
      <c r="T27">
        <v>3.97</v>
      </c>
      <c r="U27">
        <v>-1.5</v>
      </c>
      <c r="V27">
        <v>41.05</v>
      </c>
      <c r="W27" t="s">
        <v>89</v>
      </c>
      <c r="X27">
        <v>1.23</v>
      </c>
    </row>
    <row r="28" spans="1:24" ht="12.75">
      <c r="A28" t="s">
        <v>23</v>
      </c>
      <c r="B28" t="s">
        <v>117</v>
      </c>
      <c r="C28" t="s">
        <v>74</v>
      </c>
      <c r="D28" t="s">
        <v>99</v>
      </c>
      <c r="E28" s="40">
        <v>211724300000</v>
      </c>
      <c r="F28" s="40">
        <v>8899720000</v>
      </c>
      <c r="G28">
        <v>23.35</v>
      </c>
      <c r="H28">
        <v>28.5</v>
      </c>
      <c r="I28">
        <v>14.87</v>
      </c>
      <c r="J28">
        <v>0.52</v>
      </c>
      <c r="K28">
        <v>2.19</v>
      </c>
      <c r="L28">
        <v>59.5</v>
      </c>
      <c r="M28">
        <v>21</v>
      </c>
      <c r="N28">
        <v>20.45</v>
      </c>
      <c r="O28" s="40">
        <v>-20000</v>
      </c>
      <c r="P28">
        <v>25.86</v>
      </c>
      <c r="Q28">
        <v>1.74</v>
      </c>
      <c r="R28">
        <v>1.87</v>
      </c>
      <c r="S28">
        <v>10</v>
      </c>
      <c r="T28">
        <v>18.61</v>
      </c>
      <c r="U28">
        <v>1.7</v>
      </c>
      <c r="V28">
        <v>40.63</v>
      </c>
      <c r="W28" t="s">
        <v>79</v>
      </c>
      <c r="X28">
        <v>1.71</v>
      </c>
    </row>
    <row r="29" spans="1:24" ht="12.75">
      <c r="A29" t="s">
        <v>141</v>
      </c>
      <c r="B29" t="s">
        <v>177</v>
      </c>
      <c r="C29" t="s">
        <v>74</v>
      </c>
      <c r="D29" t="s">
        <v>127</v>
      </c>
      <c r="E29" s="40">
        <v>2406642000</v>
      </c>
      <c r="F29" s="40">
        <v>104319100</v>
      </c>
      <c r="G29">
        <v>21.79</v>
      </c>
      <c r="H29">
        <v>34.86</v>
      </c>
      <c r="I29">
        <v>14.25</v>
      </c>
      <c r="J29">
        <v>1.71</v>
      </c>
      <c r="K29">
        <v>7.4</v>
      </c>
      <c r="L29">
        <v>46.6</v>
      </c>
      <c r="M29">
        <v>21.83</v>
      </c>
      <c r="N29">
        <v>21</v>
      </c>
      <c r="Q29">
        <v>1.06</v>
      </c>
      <c r="R29">
        <v>0.92</v>
      </c>
      <c r="S29">
        <v>9</v>
      </c>
      <c r="T29">
        <v>8.5</v>
      </c>
      <c r="U29">
        <v>0.2</v>
      </c>
      <c r="V29">
        <v>7.07</v>
      </c>
      <c r="W29" t="s">
        <v>80</v>
      </c>
      <c r="X29">
        <v>1.84</v>
      </c>
    </row>
    <row r="30" spans="1:24" ht="12.75">
      <c r="A30" t="s">
        <v>134</v>
      </c>
      <c r="B30" t="s">
        <v>135</v>
      </c>
      <c r="C30" t="s">
        <v>74</v>
      </c>
      <c r="D30" t="s">
        <v>136</v>
      </c>
      <c r="E30" s="40">
        <v>9046059000</v>
      </c>
      <c r="F30" s="40">
        <v>360976000</v>
      </c>
      <c r="G30">
        <v>25.47</v>
      </c>
      <c r="H30">
        <v>35.53</v>
      </c>
      <c r="I30">
        <v>20.31</v>
      </c>
      <c r="J30">
        <v>1.24</v>
      </c>
      <c r="K30">
        <v>4.95</v>
      </c>
      <c r="L30">
        <v>70.1</v>
      </c>
      <c r="M30">
        <v>27.21</v>
      </c>
      <c r="N30">
        <v>26.57</v>
      </c>
      <c r="P30">
        <v>25.62</v>
      </c>
      <c r="Q30">
        <v>1.48</v>
      </c>
      <c r="R30">
        <v>1.48</v>
      </c>
      <c r="S30">
        <v>5</v>
      </c>
      <c r="T30">
        <v>11.99</v>
      </c>
      <c r="U30">
        <v>0.8</v>
      </c>
      <c r="V30">
        <v>21.41</v>
      </c>
      <c r="W30" t="s">
        <v>89</v>
      </c>
      <c r="X30">
        <v>1.43</v>
      </c>
    </row>
    <row r="31" spans="1:24" ht="12.75">
      <c r="A31" t="s">
        <v>44</v>
      </c>
      <c r="B31" t="s">
        <v>118</v>
      </c>
      <c r="C31" t="s">
        <v>74</v>
      </c>
      <c r="D31" t="s">
        <v>130</v>
      </c>
      <c r="E31" s="40">
        <v>84051140000</v>
      </c>
      <c r="F31" s="40">
        <v>1556791000</v>
      </c>
      <c r="G31">
        <v>54.7</v>
      </c>
      <c r="H31">
        <v>75.25</v>
      </c>
      <c r="I31">
        <v>43.78</v>
      </c>
      <c r="J31">
        <v>1.8</v>
      </c>
      <c r="K31">
        <v>3.33</v>
      </c>
      <c r="L31">
        <v>66.6</v>
      </c>
      <c r="M31">
        <v>51.54</v>
      </c>
      <c r="N31">
        <v>54.2</v>
      </c>
      <c r="P31">
        <v>11.89</v>
      </c>
      <c r="Q31">
        <v>3.22</v>
      </c>
      <c r="R31">
        <v>3.21</v>
      </c>
      <c r="S31">
        <v>7</v>
      </c>
      <c r="T31">
        <v>7.64</v>
      </c>
      <c r="U31">
        <v>-0.8</v>
      </c>
      <c r="V31">
        <v>21.24</v>
      </c>
      <c r="W31" t="s">
        <v>82</v>
      </c>
      <c r="X31">
        <v>3.69</v>
      </c>
    </row>
    <row r="32" spans="1:24" ht="12.75">
      <c r="A32" t="s">
        <v>41</v>
      </c>
      <c r="B32" t="s">
        <v>170</v>
      </c>
      <c r="C32" t="s">
        <v>74</v>
      </c>
      <c r="D32" t="s">
        <v>77</v>
      </c>
      <c r="E32" s="40">
        <v>103446500000</v>
      </c>
      <c r="F32" s="40">
        <v>6747979000</v>
      </c>
      <c r="G32">
        <v>15.19</v>
      </c>
      <c r="H32">
        <v>20.13</v>
      </c>
      <c r="I32">
        <v>11.62</v>
      </c>
      <c r="J32">
        <v>0.64</v>
      </c>
      <c r="K32">
        <v>4.18</v>
      </c>
      <c r="L32">
        <v>67.6</v>
      </c>
      <c r="M32">
        <v>14.4</v>
      </c>
      <c r="N32">
        <v>15.56</v>
      </c>
      <c r="O32" s="40">
        <v>-15000</v>
      </c>
      <c r="P32">
        <v>16.87</v>
      </c>
      <c r="Q32">
        <v>1.19</v>
      </c>
      <c r="R32">
        <v>1.19</v>
      </c>
      <c r="S32">
        <v>8</v>
      </c>
      <c r="T32">
        <v>37.62</v>
      </c>
      <c r="U32">
        <v>-8.3</v>
      </c>
      <c r="V32">
        <v>16.36</v>
      </c>
      <c r="W32" t="s">
        <v>78</v>
      </c>
      <c r="X32">
        <v>1.94</v>
      </c>
    </row>
    <row r="33" spans="1:24" ht="12.75">
      <c r="A33" t="s">
        <v>100</v>
      </c>
      <c r="B33" t="s">
        <v>225</v>
      </c>
      <c r="C33" t="s">
        <v>74</v>
      </c>
      <c r="D33" t="s">
        <v>81</v>
      </c>
      <c r="E33" s="40">
        <v>150631800000</v>
      </c>
      <c r="F33" s="40">
        <v>2914702000</v>
      </c>
      <c r="G33">
        <v>51.75</v>
      </c>
      <c r="H33">
        <v>73.57</v>
      </c>
      <c r="I33">
        <v>43.93</v>
      </c>
      <c r="J33">
        <v>1.76</v>
      </c>
      <c r="K33">
        <v>3.41</v>
      </c>
      <c r="L33">
        <v>57.3</v>
      </c>
      <c r="M33">
        <v>51.43</v>
      </c>
      <c r="N33">
        <v>56.45</v>
      </c>
      <c r="P33">
        <v>14.5</v>
      </c>
      <c r="Q33">
        <v>4.34</v>
      </c>
      <c r="R33">
        <v>3.64</v>
      </c>
      <c r="S33">
        <v>9</v>
      </c>
      <c r="T33">
        <v>18.65</v>
      </c>
      <c r="U33">
        <v>1.6</v>
      </c>
      <c r="V33">
        <v>12.08</v>
      </c>
      <c r="W33" t="s">
        <v>82</v>
      </c>
      <c r="X33">
        <v>3.59</v>
      </c>
    </row>
    <row r="34" spans="1:24" ht="12.75">
      <c r="A34" t="s">
        <v>209</v>
      </c>
      <c r="B34" t="s">
        <v>210</v>
      </c>
      <c r="C34" t="s">
        <v>74</v>
      </c>
      <c r="D34" t="s">
        <v>211</v>
      </c>
      <c r="E34" s="40">
        <v>84308590000</v>
      </c>
      <c r="F34" s="40">
        <v>1961577000</v>
      </c>
      <c r="G34">
        <v>42.61</v>
      </c>
      <c r="H34">
        <v>56.26</v>
      </c>
      <c r="I34">
        <v>32.04</v>
      </c>
      <c r="J34">
        <v>2.16</v>
      </c>
      <c r="K34">
        <v>5.03</v>
      </c>
      <c r="L34">
        <v>70.1</v>
      </c>
      <c r="M34">
        <v>41.05</v>
      </c>
      <c r="N34">
        <v>40.92</v>
      </c>
      <c r="O34" s="40">
        <v>-6999</v>
      </c>
      <c r="P34">
        <v>11.1</v>
      </c>
      <c r="Q34">
        <v>3.26</v>
      </c>
      <c r="R34">
        <v>3.32</v>
      </c>
      <c r="S34">
        <v>9</v>
      </c>
      <c r="T34">
        <v>11.63</v>
      </c>
      <c r="U34">
        <v>-7.4</v>
      </c>
      <c r="W34" t="s">
        <v>82</v>
      </c>
      <c r="X34">
        <v>3.07</v>
      </c>
    </row>
    <row r="35" spans="1:24" ht="12.75">
      <c r="A35" t="s">
        <v>101</v>
      </c>
      <c r="B35" t="s">
        <v>171</v>
      </c>
      <c r="C35" t="s">
        <v>74</v>
      </c>
      <c r="D35" t="s">
        <v>128</v>
      </c>
      <c r="E35" s="40">
        <v>5445729773</v>
      </c>
      <c r="F35" s="40">
        <v>414228200</v>
      </c>
      <c r="G35">
        <v>12.92</v>
      </c>
      <c r="H35">
        <v>34.3</v>
      </c>
      <c r="I35">
        <v>6.77</v>
      </c>
      <c r="J35">
        <v>1.55</v>
      </c>
      <c r="K35">
        <v>11.83</v>
      </c>
      <c r="L35">
        <v>19.3</v>
      </c>
      <c r="M35">
        <v>14.34</v>
      </c>
      <c r="N35">
        <v>15.84</v>
      </c>
      <c r="P35">
        <v>24.45</v>
      </c>
      <c r="Q35">
        <v>2.28</v>
      </c>
      <c r="R35">
        <v>2.77</v>
      </c>
      <c r="S35">
        <v>9</v>
      </c>
      <c r="T35">
        <v>22.28</v>
      </c>
      <c r="U35">
        <v>-19.1</v>
      </c>
      <c r="V35">
        <v>57.82</v>
      </c>
      <c r="W35" t="s">
        <v>85</v>
      </c>
      <c r="X35">
        <v>0.18</v>
      </c>
    </row>
    <row r="36" spans="1:24" ht="12.75">
      <c r="A36" t="s">
        <v>34</v>
      </c>
      <c r="B36" t="s">
        <v>119</v>
      </c>
      <c r="C36" t="s">
        <v>74</v>
      </c>
      <c r="D36" t="s">
        <v>94</v>
      </c>
      <c r="E36" s="40">
        <v>5686617000</v>
      </c>
      <c r="F36" s="40">
        <v>219306500</v>
      </c>
      <c r="G36">
        <v>26.32</v>
      </c>
      <c r="H36">
        <v>88.4</v>
      </c>
      <c r="I36">
        <v>18.23</v>
      </c>
      <c r="J36">
        <v>0.48</v>
      </c>
      <c r="K36">
        <v>1.85</v>
      </c>
      <c r="L36">
        <v>87.9</v>
      </c>
      <c r="M36">
        <v>27.83</v>
      </c>
      <c r="N36">
        <v>29.39</v>
      </c>
      <c r="O36" s="40">
        <v>-11394</v>
      </c>
      <c r="P36">
        <v>8.77</v>
      </c>
      <c r="Q36">
        <v>3.25</v>
      </c>
      <c r="R36">
        <v>3.68</v>
      </c>
      <c r="S36">
        <v>6</v>
      </c>
      <c r="T36">
        <v>43.83</v>
      </c>
      <c r="U36">
        <v>1.7</v>
      </c>
      <c r="W36" t="s">
        <v>85</v>
      </c>
      <c r="X36">
        <v>1.33</v>
      </c>
    </row>
    <row r="37" spans="1:24" ht="12.75">
      <c r="A37" t="s">
        <v>42</v>
      </c>
      <c r="B37" t="s">
        <v>218</v>
      </c>
      <c r="C37" t="s">
        <v>74</v>
      </c>
      <c r="D37" t="s">
        <v>94</v>
      </c>
      <c r="E37" s="40">
        <v>66221120000</v>
      </c>
      <c r="F37" s="40">
        <v>1196407000</v>
      </c>
      <c r="G37">
        <v>54.48</v>
      </c>
      <c r="H37">
        <v>111.95</v>
      </c>
      <c r="I37">
        <v>35.05</v>
      </c>
      <c r="J37">
        <v>0.84</v>
      </c>
      <c r="K37">
        <v>1.52</v>
      </c>
      <c r="L37">
        <v>75.6</v>
      </c>
      <c r="M37">
        <v>53.81</v>
      </c>
      <c r="N37">
        <v>50.4</v>
      </c>
      <c r="P37">
        <v>18.55</v>
      </c>
      <c r="Q37">
        <v>4.13</v>
      </c>
      <c r="R37">
        <v>4.42</v>
      </c>
      <c r="S37">
        <v>9</v>
      </c>
      <c r="T37">
        <v>68.43</v>
      </c>
      <c r="U37">
        <v>-4.9</v>
      </c>
      <c r="V37">
        <v>17.5</v>
      </c>
      <c r="W37" t="s">
        <v>85</v>
      </c>
      <c r="X37">
        <v>2.55</v>
      </c>
    </row>
    <row r="38" spans="1:24" ht="12.75">
      <c r="A38" t="s">
        <v>229</v>
      </c>
      <c r="B38" t="s">
        <v>230</v>
      </c>
      <c r="C38" t="s">
        <v>74</v>
      </c>
      <c r="D38" t="s">
        <v>77</v>
      </c>
      <c r="E38" s="40">
        <v>82537910000</v>
      </c>
      <c r="F38" s="40">
        <v>2732139000</v>
      </c>
      <c r="G38">
        <v>28.01</v>
      </c>
      <c r="H38">
        <v>37.11</v>
      </c>
      <c r="I38">
        <v>23.95</v>
      </c>
      <c r="J38">
        <v>1.44</v>
      </c>
      <c r="K38">
        <v>4.76</v>
      </c>
      <c r="L38">
        <v>5.9</v>
      </c>
      <c r="M38">
        <v>30.37</v>
      </c>
      <c r="N38">
        <v>29.8</v>
      </c>
      <c r="P38">
        <v>12.74</v>
      </c>
      <c r="Q38">
        <v>2.19</v>
      </c>
      <c r="R38">
        <v>2.04</v>
      </c>
      <c r="S38">
        <v>8</v>
      </c>
      <c r="T38">
        <v>15.61</v>
      </c>
      <c r="U38">
        <v>-1.8</v>
      </c>
      <c r="V38">
        <v>21.24</v>
      </c>
      <c r="W38" t="s">
        <v>78</v>
      </c>
      <c r="X38">
        <v>4.29</v>
      </c>
    </row>
    <row r="39" spans="1:24" ht="12.75">
      <c r="A39" t="s">
        <v>15</v>
      </c>
      <c r="B39" t="s">
        <v>207</v>
      </c>
      <c r="C39" t="s">
        <v>74</v>
      </c>
      <c r="D39" t="s">
        <v>126</v>
      </c>
      <c r="E39" s="40">
        <v>28450340000</v>
      </c>
      <c r="F39" s="40">
        <v>936789900</v>
      </c>
      <c r="G39">
        <v>30.24</v>
      </c>
      <c r="H39">
        <v>61.99</v>
      </c>
      <c r="I39">
        <v>14.52</v>
      </c>
      <c r="J39">
        <v>0.17</v>
      </c>
      <c r="K39">
        <v>0.57</v>
      </c>
      <c r="L39">
        <v>68</v>
      </c>
      <c r="M39">
        <v>34.69</v>
      </c>
      <c r="N39">
        <v>30.11</v>
      </c>
      <c r="P39">
        <v>4.29</v>
      </c>
      <c r="Q39">
        <v>1.11</v>
      </c>
      <c r="R39">
        <v>1.94</v>
      </c>
      <c r="S39">
        <v>5</v>
      </c>
      <c r="T39">
        <v>17.04</v>
      </c>
      <c r="U39">
        <v>-19.6</v>
      </c>
      <c r="V39">
        <v>15.75</v>
      </c>
      <c r="W39" t="s">
        <v>85</v>
      </c>
      <c r="X39">
        <v>1.12</v>
      </c>
    </row>
    <row r="40" spans="1:24" ht="12.75">
      <c r="A40" t="s">
        <v>108</v>
      </c>
      <c r="B40" t="s">
        <v>120</v>
      </c>
      <c r="C40" t="s">
        <v>74</v>
      </c>
      <c r="D40" t="s">
        <v>131</v>
      </c>
      <c r="E40" s="40">
        <v>1117956000</v>
      </c>
      <c r="F40" s="40">
        <v>48712700</v>
      </c>
      <c r="G40">
        <v>22.66</v>
      </c>
      <c r="H40">
        <v>32.26</v>
      </c>
      <c r="I40">
        <v>18.42</v>
      </c>
      <c r="J40">
        <v>0.76</v>
      </c>
      <c r="K40">
        <v>3.31</v>
      </c>
      <c r="L40">
        <v>84.6</v>
      </c>
      <c r="M40">
        <v>23.35</v>
      </c>
      <c r="N40">
        <v>23.73</v>
      </c>
      <c r="P40">
        <v>7.47</v>
      </c>
      <c r="Q40">
        <v>1.9</v>
      </c>
      <c r="R40">
        <v>1.89</v>
      </c>
      <c r="S40">
        <v>7</v>
      </c>
      <c r="T40">
        <v>2.22</v>
      </c>
      <c r="U40">
        <v>-8</v>
      </c>
      <c r="V40">
        <v>4.63</v>
      </c>
      <c r="W40" t="s">
        <v>75</v>
      </c>
      <c r="X40">
        <v>1.93</v>
      </c>
    </row>
    <row r="41" spans="1:24" ht="12.75">
      <c r="A41" t="s">
        <v>212</v>
      </c>
      <c r="B41" t="s">
        <v>213</v>
      </c>
      <c r="C41" t="s">
        <v>74</v>
      </c>
      <c r="D41" t="s">
        <v>214</v>
      </c>
      <c r="E41" s="40">
        <v>13644280000</v>
      </c>
      <c r="F41" s="40">
        <v>589895400</v>
      </c>
      <c r="G41">
        <v>22.98</v>
      </c>
      <c r="H41">
        <v>35</v>
      </c>
      <c r="I41">
        <v>19.39</v>
      </c>
      <c r="J41">
        <v>0.96</v>
      </c>
      <c r="K41">
        <v>4.15</v>
      </c>
      <c r="L41">
        <v>72.3</v>
      </c>
      <c r="M41">
        <v>23.32</v>
      </c>
      <c r="N41">
        <v>24.18</v>
      </c>
      <c r="P41">
        <v>2.87</v>
      </c>
      <c r="Q41">
        <v>1.79</v>
      </c>
      <c r="R41">
        <v>1.81</v>
      </c>
      <c r="S41">
        <v>5</v>
      </c>
      <c r="T41">
        <v>7.28</v>
      </c>
      <c r="U41">
        <v>-0.1</v>
      </c>
      <c r="V41">
        <v>15.14</v>
      </c>
      <c r="W41" t="s">
        <v>89</v>
      </c>
      <c r="X41">
        <v>1.74</v>
      </c>
    </row>
    <row r="42" spans="1:24" ht="12.75">
      <c r="A42" t="s">
        <v>21</v>
      </c>
      <c r="B42" t="s">
        <v>121</v>
      </c>
      <c r="C42" t="s">
        <v>74</v>
      </c>
      <c r="D42" t="s">
        <v>132</v>
      </c>
      <c r="E42" s="40">
        <v>30324390000</v>
      </c>
      <c r="F42" s="40">
        <v>752279600</v>
      </c>
      <c r="G42">
        <v>39.57</v>
      </c>
      <c r="H42">
        <v>59.55</v>
      </c>
      <c r="I42">
        <v>25</v>
      </c>
      <c r="J42">
        <v>0.68</v>
      </c>
      <c r="K42">
        <v>1.69</v>
      </c>
      <c r="L42">
        <v>87.2</v>
      </c>
      <c r="M42">
        <v>40.42</v>
      </c>
      <c r="N42">
        <v>37.03</v>
      </c>
      <c r="P42">
        <v>3.28</v>
      </c>
      <c r="Q42">
        <v>2.81</v>
      </c>
      <c r="R42">
        <v>2.86</v>
      </c>
      <c r="S42">
        <v>7</v>
      </c>
      <c r="T42">
        <v>6.46</v>
      </c>
      <c r="U42">
        <v>0.2</v>
      </c>
      <c r="V42">
        <v>18.09</v>
      </c>
      <c r="W42" t="s">
        <v>89</v>
      </c>
      <c r="X42">
        <v>2.85</v>
      </c>
    </row>
    <row r="43" spans="1:24" ht="12.75">
      <c r="A43" t="s">
        <v>178</v>
      </c>
      <c r="B43" t="s">
        <v>179</v>
      </c>
      <c r="C43" t="s">
        <v>74</v>
      </c>
      <c r="D43" t="s">
        <v>180</v>
      </c>
      <c r="E43" s="40">
        <v>2975392000</v>
      </c>
      <c r="F43" s="40">
        <v>104767300</v>
      </c>
      <c r="G43">
        <v>28.69</v>
      </c>
      <c r="H43">
        <v>34.5</v>
      </c>
      <c r="I43">
        <v>16.9</v>
      </c>
      <c r="J43">
        <v>2.9</v>
      </c>
      <c r="K43">
        <v>10.21</v>
      </c>
      <c r="L43">
        <v>17.6</v>
      </c>
      <c r="M43">
        <v>28.09</v>
      </c>
      <c r="N43">
        <v>24.51</v>
      </c>
      <c r="P43">
        <v>1.7</v>
      </c>
      <c r="Q43">
        <v>1.72</v>
      </c>
      <c r="R43">
        <v>1.65</v>
      </c>
      <c r="S43">
        <v>8</v>
      </c>
      <c r="T43">
        <v>13.26</v>
      </c>
      <c r="U43">
        <v>-48.1</v>
      </c>
      <c r="V43">
        <v>2.58</v>
      </c>
      <c r="W43" t="s">
        <v>85</v>
      </c>
      <c r="X43">
        <v>1.76</v>
      </c>
    </row>
    <row r="44" spans="1:24" ht="12.75">
      <c r="A44" t="s">
        <v>102</v>
      </c>
      <c r="B44" t="s">
        <v>140</v>
      </c>
      <c r="C44" t="s">
        <v>74</v>
      </c>
      <c r="D44" t="s">
        <v>133</v>
      </c>
      <c r="E44" s="40">
        <v>49125090000</v>
      </c>
      <c r="F44" s="40">
        <v>995039300</v>
      </c>
      <c r="G44">
        <v>49.86</v>
      </c>
      <c r="H44">
        <v>70</v>
      </c>
      <c r="I44">
        <v>37.99</v>
      </c>
      <c r="J44">
        <v>1.8</v>
      </c>
      <c r="K44">
        <v>3.65</v>
      </c>
      <c r="L44">
        <v>70.4</v>
      </c>
      <c r="M44">
        <v>51.8</v>
      </c>
      <c r="N44">
        <v>51.61</v>
      </c>
      <c r="P44">
        <v>5.02</v>
      </c>
      <c r="Q44">
        <v>2.46</v>
      </c>
      <c r="R44">
        <v>2.94</v>
      </c>
      <c r="S44">
        <v>7</v>
      </c>
      <c r="T44">
        <v>0.71</v>
      </c>
      <c r="U44">
        <v>-13.7</v>
      </c>
      <c r="V44">
        <v>14.37</v>
      </c>
      <c r="W44" t="s">
        <v>148</v>
      </c>
      <c r="X44">
        <v>2.36</v>
      </c>
    </row>
    <row r="45" spans="1:24" ht="12.75">
      <c r="A45" t="s">
        <v>25</v>
      </c>
      <c r="B45" t="s">
        <v>234</v>
      </c>
      <c r="C45" t="s">
        <v>74</v>
      </c>
      <c r="D45" t="s">
        <v>129</v>
      </c>
      <c r="E45" s="40">
        <v>31288390000</v>
      </c>
      <c r="F45" s="40">
        <v>1758763000</v>
      </c>
      <c r="G45">
        <v>18.02</v>
      </c>
      <c r="H45">
        <v>42.23</v>
      </c>
      <c r="I45">
        <v>8.06</v>
      </c>
      <c r="J45">
        <v>0.2</v>
      </c>
      <c r="K45">
        <v>1.12</v>
      </c>
      <c r="L45">
        <v>57.8</v>
      </c>
      <c r="M45">
        <v>18.39</v>
      </c>
      <c r="N45">
        <v>21.52</v>
      </c>
      <c r="P45">
        <v>16.52</v>
      </c>
      <c r="Q45">
        <v>1.23</v>
      </c>
      <c r="R45">
        <v>1.61</v>
      </c>
      <c r="S45">
        <v>2</v>
      </c>
      <c r="T45">
        <v>-5.33</v>
      </c>
      <c r="U45">
        <v>-10.5</v>
      </c>
      <c r="V45">
        <v>14.51</v>
      </c>
      <c r="W45" t="s">
        <v>80</v>
      </c>
      <c r="X45">
        <v>0.93</v>
      </c>
    </row>
    <row r="46" spans="1:24" ht="12.75">
      <c r="A46" t="s">
        <v>145</v>
      </c>
      <c r="B46" t="s">
        <v>172</v>
      </c>
      <c r="C46" t="s">
        <v>74</v>
      </c>
      <c r="D46" t="s">
        <v>146</v>
      </c>
      <c r="E46" s="40">
        <v>8618695000</v>
      </c>
      <c r="F46" s="40">
        <v>516398700</v>
      </c>
      <c r="G46">
        <v>16.48</v>
      </c>
      <c r="H46">
        <v>43.3</v>
      </c>
      <c r="I46">
        <v>13.94</v>
      </c>
      <c r="J46">
        <v>0.6</v>
      </c>
      <c r="K46">
        <v>3.6</v>
      </c>
      <c r="L46">
        <v>69.3</v>
      </c>
      <c r="M46">
        <v>20.01</v>
      </c>
      <c r="N46">
        <v>21.16</v>
      </c>
      <c r="P46">
        <v>-1.03</v>
      </c>
      <c r="Q46">
        <v>-2.22</v>
      </c>
      <c r="R46">
        <v>-2.16</v>
      </c>
      <c r="S46">
        <v>4</v>
      </c>
      <c r="U46">
        <v>-50.5</v>
      </c>
      <c r="V46">
        <v>40.26</v>
      </c>
      <c r="W46" t="s">
        <v>85</v>
      </c>
      <c r="X46">
        <v>1.43</v>
      </c>
    </row>
    <row r="47" spans="1:24" ht="12.75">
      <c r="A47" t="s">
        <v>104</v>
      </c>
      <c r="B47" t="s">
        <v>122</v>
      </c>
      <c r="C47" t="s">
        <v>74</v>
      </c>
      <c r="D47" t="s">
        <v>88</v>
      </c>
      <c r="E47" s="40">
        <v>29751270000</v>
      </c>
      <c r="F47" s="40">
        <v>991709000</v>
      </c>
      <c r="G47">
        <v>29.8</v>
      </c>
      <c r="H47">
        <v>37.85</v>
      </c>
      <c r="I47">
        <v>21.28</v>
      </c>
      <c r="J47">
        <v>0.45</v>
      </c>
      <c r="K47">
        <v>1.5</v>
      </c>
      <c r="L47">
        <v>65.3</v>
      </c>
      <c r="M47">
        <v>30.58</v>
      </c>
      <c r="N47">
        <v>27.19</v>
      </c>
      <c r="P47">
        <v>3.24</v>
      </c>
      <c r="Q47">
        <v>2.03</v>
      </c>
      <c r="R47">
        <v>2.17</v>
      </c>
      <c r="S47">
        <v>7</v>
      </c>
      <c r="T47">
        <v>13.11</v>
      </c>
      <c r="U47">
        <v>7.2</v>
      </c>
      <c r="V47">
        <v>20.63</v>
      </c>
      <c r="W47" t="s">
        <v>89</v>
      </c>
      <c r="X47">
        <v>2.01</v>
      </c>
    </row>
    <row r="48" spans="1:24" ht="12.75">
      <c r="A48" t="s">
        <v>103</v>
      </c>
      <c r="B48" t="s">
        <v>165</v>
      </c>
      <c r="C48" t="s">
        <v>74</v>
      </c>
      <c r="D48" t="s">
        <v>83</v>
      </c>
      <c r="E48" s="40">
        <v>101479900000</v>
      </c>
      <c r="F48" s="40">
        <v>4263860000</v>
      </c>
      <c r="G48">
        <v>23.87</v>
      </c>
      <c r="H48">
        <v>44.69</v>
      </c>
      <c r="I48">
        <v>7.8</v>
      </c>
      <c r="J48">
        <v>0.2</v>
      </c>
      <c r="K48">
        <v>0.84</v>
      </c>
      <c r="L48">
        <v>64.8</v>
      </c>
      <c r="M48">
        <v>23.56</v>
      </c>
      <c r="N48">
        <v>23.87</v>
      </c>
      <c r="P48">
        <v>7.2</v>
      </c>
      <c r="Q48">
        <v>0.74</v>
      </c>
      <c r="R48">
        <v>0.7</v>
      </c>
      <c r="S48">
        <v>3</v>
      </c>
      <c r="T48">
        <v>-17.5</v>
      </c>
      <c r="U48">
        <v>61.7</v>
      </c>
      <c r="V48">
        <v>11.63</v>
      </c>
      <c r="W48" t="s">
        <v>80</v>
      </c>
      <c r="X48">
        <v>1.52</v>
      </c>
    </row>
    <row r="49" spans="1:24" ht="12.75">
      <c r="A49" t="s">
        <v>231</v>
      </c>
      <c r="B49" t="s">
        <v>232</v>
      </c>
      <c r="C49" t="s">
        <v>74</v>
      </c>
      <c r="D49" t="s">
        <v>233</v>
      </c>
      <c r="E49" s="40">
        <v>13933500000</v>
      </c>
      <c r="F49" s="40">
        <v>492002000</v>
      </c>
      <c r="G49">
        <v>28.26</v>
      </c>
      <c r="H49">
        <v>38.4</v>
      </c>
      <c r="I49">
        <v>22.1</v>
      </c>
      <c r="J49">
        <v>1.16</v>
      </c>
      <c r="K49">
        <v>4.1</v>
      </c>
      <c r="L49">
        <v>81.3</v>
      </c>
      <c r="M49">
        <v>27.6</v>
      </c>
      <c r="N49">
        <v>29.13</v>
      </c>
      <c r="O49">
        <v>-592</v>
      </c>
      <c r="P49">
        <v>7.74</v>
      </c>
      <c r="Q49">
        <v>2.03</v>
      </c>
      <c r="R49">
        <v>2.19</v>
      </c>
      <c r="S49">
        <v>8</v>
      </c>
      <c r="T49">
        <v>8.62</v>
      </c>
      <c r="U49">
        <v>-14</v>
      </c>
      <c r="V49">
        <v>155.08</v>
      </c>
      <c r="W49" t="s">
        <v>93</v>
      </c>
      <c r="X49">
        <v>2.02</v>
      </c>
    </row>
    <row r="50" spans="1:24" ht="12.75">
      <c r="A50" t="s">
        <v>19</v>
      </c>
      <c r="B50" t="s">
        <v>123</v>
      </c>
      <c r="C50" t="s">
        <v>74</v>
      </c>
      <c r="D50" t="s">
        <v>132</v>
      </c>
      <c r="E50" s="40">
        <v>191518800000</v>
      </c>
      <c r="F50" s="40">
        <v>3896618000</v>
      </c>
      <c r="G50">
        <v>48.63</v>
      </c>
      <c r="H50">
        <v>63.85</v>
      </c>
      <c r="I50">
        <v>46.25</v>
      </c>
      <c r="J50">
        <v>1.09</v>
      </c>
      <c r="K50">
        <v>2.22</v>
      </c>
      <c r="L50">
        <v>37.8</v>
      </c>
      <c r="M50">
        <v>49.58</v>
      </c>
      <c r="N50">
        <v>52.22</v>
      </c>
      <c r="O50" s="40">
        <v>-100000</v>
      </c>
      <c r="P50">
        <v>3.4</v>
      </c>
      <c r="Q50">
        <v>3.4</v>
      </c>
      <c r="R50">
        <v>3.36</v>
      </c>
      <c r="S50">
        <v>7</v>
      </c>
      <c r="T50">
        <v>8.39</v>
      </c>
      <c r="U50">
        <v>-0.7</v>
      </c>
      <c r="V50">
        <v>21.42</v>
      </c>
      <c r="W50" t="s">
        <v>89</v>
      </c>
      <c r="X50">
        <v>3.56</v>
      </c>
    </row>
    <row r="51" spans="5:15" ht="12.75">
      <c r="E51" s="40"/>
      <c r="F51" s="40"/>
      <c r="O51" s="40"/>
    </row>
    <row r="52" spans="5:15" ht="12.75">
      <c r="E52" s="40"/>
      <c r="F52" s="40"/>
      <c r="O52" s="40"/>
    </row>
    <row r="53" spans="5:6" ht="12.75">
      <c r="E53" s="40"/>
      <c r="F53" s="40"/>
    </row>
    <row r="54" spans="5:15" ht="12.75">
      <c r="E54" s="40"/>
      <c r="F54" s="40"/>
      <c r="O54" s="40"/>
    </row>
    <row r="55" spans="5:6" ht="12.75">
      <c r="E55" s="40"/>
      <c r="F55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JKM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Meinking</dc:creator>
  <cp:keywords/>
  <dc:description/>
  <cp:lastModifiedBy>JKM</cp:lastModifiedBy>
  <cp:lastPrinted>2007-09-11T14:49:48Z</cp:lastPrinted>
  <dcterms:created xsi:type="dcterms:W3CDTF">2003-07-09T14:00:34Z</dcterms:created>
  <dcterms:modified xsi:type="dcterms:W3CDTF">2009-06-27T01:48:01Z</dcterms:modified>
  <cp:category/>
  <cp:version/>
  <cp:contentType/>
  <cp:contentStatus/>
</cp:coreProperties>
</file>